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50" windowHeight="11595" tabRatio="535"/>
  </bookViews>
  <sheets>
    <sheet name="Лист1" sheetId="2" r:id="rId1"/>
    <sheet name="Лист2" sheetId="3" r:id="rId2"/>
  </sheets>
  <definedNames>
    <definedName name="_xlnm._FilterDatabase" localSheetId="0" hidden="1">Лист1!$A$7:$AD$93</definedName>
    <definedName name="_xlnm.Print_Titles" localSheetId="0">Лист1!$7:$7</definedName>
    <definedName name="_xlnm.Print_Area" localSheetId="0">Лист1!$A$1:$R$94</definedName>
  </definedNames>
  <calcPr calcId="125725"/>
</workbook>
</file>

<file path=xl/calcChain.xml><?xml version="1.0" encoding="utf-8"?>
<calcChain xmlns="http://schemas.openxmlformats.org/spreadsheetml/2006/main">
  <c r="O30" i="2"/>
  <c r="N30"/>
  <c r="M30"/>
  <c r="O51"/>
  <c r="N51"/>
  <c r="M51"/>
  <c r="L51"/>
  <c r="K51"/>
  <c r="Q61"/>
  <c r="P61"/>
  <c r="O52"/>
  <c r="N52"/>
  <c r="M52"/>
  <c r="O54"/>
  <c r="N54"/>
  <c r="O71"/>
  <c r="N71"/>
  <c r="M71"/>
  <c r="O70"/>
  <c r="N70"/>
  <c r="M70"/>
  <c r="M54"/>
  <c r="O55"/>
  <c r="N55"/>
  <c r="M55"/>
  <c r="O11"/>
  <c r="N11"/>
  <c r="M11"/>
  <c r="Q14"/>
  <c r="Q12"/>
  <c r="L87"/>
  <c r="L84"/>
  <c r="L83"/>
  <c r="L82"/>
  <c r="L80"/>
  <c r="L78"/>
  <c r="L73"/>
  <c r="L69"/>
  <c r="L66"/>
  <c r="L63"/>
  <c r="L53"/>
  <c r="L44"/>
  <c r="L43"/>
  <c r="L41"/>
  <c r="L39"/>
  <c r="L37"/>
  <c r="L35" s="1"/>
  <c r="L30"/>
  <c r="L27"/>
  <c r="L21" s="1"/>
  <c r="L20" s="1"/>
  <c r="L17"/>
  <c r="L13"/>
  <c r="L11"/>
  <c r="L10" s="1"/>
  <c r="L9" s="1"/>
  <c r="K30"/>
  <c r="Q34"/>
  <c r="P34"/>
  <c r="L8" l="1"/>
  <c r="K11" l="1"/>
  <c r="O77"/>
  <c r="N77"/>
  <c r="M77"/>
  <c r="O36"/>
  <c r="N36"/>
  <c r="M36"/>
  <c r="O27"/>
  <c r="N27"/>
  <c r="M27"/>
  <c r="Q94"/>
  <c r="Q72"/>
  <c r="Q28"/>
  <c r="O46"/>
  <c r="N46"/>
  <c r="M46"/>
  <c r="O53"/>
  <c r="O86"/>
  <c r="P86" s="1"/>
  <c r="O25"/>
  <c r="N25"/>
  <c r="M25"/>
  <c r="O45"/>
  <c r="Q45" s="1"/>
  <c r="N45"/>
  <c r="M45"/>
  <c r="O64"/>
  <c r="N64"/>
  <c r="M64"/>
  <c r="O13"/>
  <c r="N13"/>
  <c r="M13"/>
  <c r="Q93"/>
  <c r="P93"/>
  <c r="Q88"/>
  <c r="P88"/>
  <c r="Q81"/>
  <c r="P81"/>
  <c r="Q77"/>
  <c r="P77"/>
  <c r="Q58"/>
  <c r="P58"/>
  <c r="Q15"/>
  <c r="P15"/>
  <c r="Q53"/>
  <c r="N53"/>
  <c r="M53"/>
  <c r="O47"/>
  <c r="N47"/>
  <c r="M47"/>
  <c r="N86"/>
  <c r="M86"/>
  <c r="M84" s="1"/>
  <c r="J78"/>
  <c r="J73"/>
  <c r="J69"/>
  <c r="J66"/>
  <c r="J63" s="1"/>
  <c r="J44"/>
  <c r="J41"/>
  <c r="J39"/>
  <c r="J35"/>
  <c r="J30"/>
  <c r="J21"/>
  <c r="J17"/>
  <c r="J10"/>
  <c r="O92"/>
  <c r="Q92" s="1"/>
  <c r="N92"/>
  <c r="M92"/>
  <c r="O87"/>
  <c r="N87"/>
  <c r="M87"/>
  <c r="O84"/>
  <c r="Q84" s="1"/>
  <c r="N84"/>
  <c r="O80"/>
  <c r="Q80" s="1"/>
  <c r="N80"/>
  <c r="M80"/>
  <c r="O39"/>
  <c r="N39"/>
  <c r="M39"/>
  <c r="P94"/>
  <c r="L92"/>
  <c r="K87"/>
  <c r="J87"/>
  <c r="K92"/>
  <c r="J92"/>
  <c r="J84"/>
  <c r="Q30" l="1"/>
  <c r="P87"/>
  <c r="Q86"/>
  <c r="Q87"/>
  <c r="Q52"/>
  <c r="P56"/>
  <c r="Q46"/>
  <c r="J20"/>
  <c r="J9"/>
  <c r="Q56" l="1"/>
  <c r="O44"/>
  <c r="N44"/>
  <c r="O41"/>
  <c r="N41"/>
  <c r="M41"/>
  <c r="M44" l="1"/>
  <c r="O83"/>
  <c r="N83"/>
  <c r="N82" s="1"/>
  <c r="M83"/>
  <c r="M82" s="1"/>
  <c r="N69"/>
  <c r="N63" s="1"/>
  <c r="Q57"/>
  <c r="Q75"/>
  <c r="Q74"/>
  <c r="Q60"/>
  <c r="Q59"/>
  <c r="Q54"/>
  <c r="Q32"/>
  <c r="O69" l="1"/>
  <c r="P69" s="1"/>
  <c r="Q70"/>
  <c r="P70"/>
  <c r="P71"/>
  <c r="Q71"/>
  <c r="O82"/>
  <c r="P83"/>
  <c r="Q83"/>
  <c r="O63"/>
  <c r="M69"/>
  <c r="Q31"/>
  <c r="Q65"/>
  <c r="P65"/>
  <c r="P50"/>
  <c r="K84"/>
  <c r="K83"/>
  <c r="K44"/>
  <c r="K43"/>
  <c r="K37"/>
  <c r="K13"/>
  <c r="Q82" l="1"/>
  <c r="P82"/>
  <c r="M63"/>
  <c r="Q69"/>
  <c r="O76"/>
  <c r="O73" s="1"/>
  <c r="N76"/>
  <c r="N73" s="1"/>
  <c r="M76"/>
  <c r="M73" s="1"/>
  <c r="O26"/>
  <c r="O21" s="1"/>
  <c r="O20" s="1"/>
  <c r="N26"/>
  <c r="N21" s="1"/>
  <c r="N20" s="1"/>
  <c r="M26"/>
  <c r="M21" s="1"/>
  <c r="M20" s="1"/>
  <c r="O37"/>
  <c r="O35" s="1"/>
  <c r="N37"/>
  <c r="N35" s="1"/>
  <c r="M37"/>
  <c r="M35" s="1"/>
  <c r="P28"/>
  <c r="P60"/>
  <c r="P59"/>
  <c r="P57"/>
  <c r="J56"/>
  <c r="J51" s="1"/>
  <c r="J8" s="1"/>
  <c r="P84"/>
  <c r="K82"/>
  <c r="P80"/>
  <c r="K80"/>
  <c r="J82"/>
  <c r="J80"/>
  <c r="P76"/>
  <c r="K73"/>
  <c r="K66"/>
  <c r="K35"/>
  <c r="P38"/>
  <c r="P32"/>
  <c r="P31"/>
  <c r="Q27"/>
  <c r="P27"/>
  <c r="K27"/>
  <c r="K21" s="1"/>
  <c r="N10"/>
  <c r="N9" s="1"/>
  <c r="K17"/>
  <c r="P16"/>
  <c r="K10"/>
  <c r="K9" s="1"/>
  <c r="K53"/>
  <c r="P75"/>
  <c r="P74"/>
  <c r="P72"/>
  <c r="Q64"/>
  <c r="P64"/>
  <c r="P54"/>
  <c r="P53"/>
  <c r="Q47"/>
  <c r="P47"/>
  <c r="P46"/>
  <c r="P45"/>
  <c r="Q43"/>
  <c r="P43"/>
  <c r="P42"/>
  <c r="P40"/>
  <c r="P37"/>
  <c r="P36"/>
  <c r="P26"/>
  <c r="Q25"/>
  <c r="Q24"/>
  <c r="P24"/>
  <c r="Q23"/>
  <c r="P23"/>
  <c r="Q22"/>
  <c r="P22"/>
  <c r="P14"/>
  <c r="P13"/>
  <c r="P12"/>
  <c r="P11"/>
  <c r="Q26" l="1"/>
  <c r="N8"/>
  <c r="Q37"/>
  <c r="M10"/>
  <c r="M9" s="1"/>
  <c r="M8" s="1"/>
  <c r="O10"/>
  <c r="O9" s="1"/>
  <c r="O8" s="1"/>
  <c r="P63"/>
  <c r="P92"/>
  <c r="Q11"/>
  <c r="Q13"/>
  <c r="K20"/>
  <c r="Q73"/>
  <c r="Q76"/>
  <c r="Q51"/>
  <c r="P30"/>
  <c r="P55"/>
  <c r="P21"/>
  <c r="P25"/>
  <c r="P52"/>
  <c r="P20"/>
  <c r="Q44"/>
  <c r="P39"/>
  <c r="P73"/>
  <c r="Q36"/>
  <c r="Q63"/>
  <c r="P44"/>
  <c r="Q55"/>
  <c r="P41"/>
  <c r="Q41"/>
  <c r="Q42"/>
  <c r="P51"/>
  <c r="P35"/>
  <c r="K69"/>
  <c r="K63" s="1"/>
  <c r="K78"/>
  <c r="K41"/>
  <c r="K39"/>
  <c r="K8" l="1"/>
  <c r="Q9"/>
  <c r="P10"/>
  <c r="Q20"/>
  <c r="Q10"/>
  <c r="Q21"/>
  <c r="P9"/>
  <c r="Q35"/>
  <c r="Q8" l="1"/>
  <c r="P8"/>
</calcChain>
</file>

<file path=xl/sharedStrings.xml><?xml version="1.0" encoding="utf-8"?>
<sst xmlns="http://schemas.openxmlformats.org/spreadsheetml/2006/main" count="432" uniqueCount="199">
  <si>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</si>
  <si>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</si>
  <si>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</si>
  <si>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</si>
  <si>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</si>
  <si>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</si>
  <si>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</si>
  <si>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</si>
  <si>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</si>
  <si>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министерство промышленности и строительства Архангельской области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</si>
  <si>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</si>
  <si>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</si>
  <si>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</si>
  <si>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</si>
  <si>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</si>
  <si>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</si>
  <si>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Строительство детского сада на 280 мест в г. Новодвинске</t>
  </si>
  <si>
    <t>Строительство школы-сада в правобережной части г.Каргополя по ул.Чеснокова, 12б</t>
  </si>
  <si>
    <t>130 коек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</si>
  <si>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</si>
  <si>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</si>
  <si>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</si>
  <si>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</si>
  <si>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</si>
  <si>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</si>
  <si>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 xml:space="preserve">министерство промышленности и строительства Архангельской области </t>
  </si>
  <si>
    <t>администрация муниципального образования «Вельский муниципальный район»</t>
  </si>
  <si>
    <t>Строительство детского сада на 240 мест в пос. Березник Виноградовского района</t>
  </si>
  <si>
    <t>240 мест</t>
  </si>
  <si>
    <t>90 мест</t>
  </si>
  <si>
    <t>бюджетные инвестиции в объекты государственной собственности Архангельской области</t>
  </si>
  <si>
    <t>Приобретение детского сада на 60 мест в п. Пежма Вельского района</t>
  </si>
  <si>
    <t>60 мест</t>
  </si>
  <si>
    <t>администрация муниципального образования "Вельский муниципальный район"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</si>
  <si>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</si>
  <si>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</si>
  <si>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</si>
  <si>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</si>
  <si>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</si>
  <si>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</si>
  <si>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</si>
  <si>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</si>
  <si>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1</t>
  </si>
  <si>
    <t>25 100 кв. м   жилых площадей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</si>
  <si>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</si>
  <si>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</si>
  <si>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</si>
  <si>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</si>
  <si>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</si>
  <si>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</si>
  <si>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</si>
  <si>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Строительство мостового перехода через реку Устья на автомобильной дороге Октябрьский – Мягкославская (Некрасово)  с подъездом к дер. Мягкославская</t>
  </si>
  <si>
    <t>Реконструкция автомобильной дороги Архангельск (от пос. Брин-Наволок) - Каргополь - Вытегра (до с. Прокшино) на участке Сухое - Самодед</t>
  </si>
  <si>
    <t>протяженность:                                             подъезда 11,8 км /                                 мостового перехода 11,5 п.м.</t>
  </si>
  <si>
    <t>реконструкция</t>
  </si>
  <si>
    <t xml:space="preserve">протяженность                                             подъезда 1,2 км                          </t>
  </si>
  <si>
    <t>Строительство автомобильной дороги Подъезд к дер. Боярская от автомобильной дороги Ломоносово - Ровдино</t>
  </si>
  <si>
    <t xml:space="preserve">протяженность дороги 2,1 км                          </t>
  </si>
  <si>
    <t xml:space="preserve">протяженность дороги 1,6 км                          </t>
  </si>
  <si>
    <t xml:space="preserve">Строительство школы в дер. Погост Вельского района
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</si>
  <si>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</si>
  <si>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</si>
  <si>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</si>
  <si>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</si>
  <si>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</si>
  <si>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101 991,94 кв. м жилых площадей</t>
  </si>
  <si>
    <t>Строительство детского сада на 120 мест                                                          в г. Вельске</t>
  </si>
  <si>
    <t>Пристройка сценическо-зрительского комплекса к основному зданию и реконструкция существующего здания Архангельского театра кукол, г. Архангельск, пр. Троицкий, 5</t>
  </si>
  <si>
    <t>330 мест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</si>
  <si>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</si>
  <si>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</si>
  <si>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</si>
  <si>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</si>
  <si>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ФОК Онега</t>
  </si>
  <si>
    <t>Реконструкция водопроводных очистных сооружений в пос.Сия Пинежского района Архангельской области</t>
  </si>
  <si>
    <t>администрация муниципального образования «Пинежский муниципальный район»</t>
  </si>
  <si>
    <t>Строительство физкультурно-оздоровительного комплекса в п. Коноша Коношского района Архангельской области</t>
  </si>
  <si>
    <t>51 чел./смена</t>
  </si>
  <si>
    <t>40 м3/час</t>
  </si>
  <si>
    <t>1.4</t>
  </si>
  <si>
    <t>1.5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</si>
  <si>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 и строительство)</t>
  </si>
  <si>
    <t>Обеспечение земельных участков дорожной инфраструктурой для строительства многоквартирных домов в VII жилом районе (ул.Стрелковая-ул.Карпогорская, длиной 1650 м) (проектирование и строительство)</t>
  </si>
  <si>
    <t>ГКУ Архангельской области "Главное управление капитального строительства"</t>
  </si>
  <si>
    <t>Строительство детского сада на 120 мест в пос. Катунино Приморского района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</si>
  <si>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</si>
  <si>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</si>
  <si>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3.1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</si>
  <si>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</si>
  <si>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</si>
  <si>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>Строительство распределительных  газовых сетей в д. Куимиха Котласского района</t>
  </si>
  <si>
    <t>2. Развитие газификации в сельской местности</t>
  </si>
  <si>
    <t>3.2</t>
  </si>
  <si>
    <t>Обеспечение объектами инженерной инфраструктуры земельных участков, предоставляемых для расселения аварийного жилья в г.Архангельске</t>
  </si>
  <si>
    <t>IV. Программа модернизации здравоохранения Архангельской области на 2011 - 2016 годы</t>
  </si>
  <si>
    <t xml:space="preserve">министерство строительства и архитектуры Архангельской области </t>
  </si>
  <si>
    <t>министерство транспорта  Архангельской области</t>
  </si>
  <si>
    <t>II. Государственная программа Архангельской области «Развитие образования и науки Архангельской области (2013 - 2018 годы)»</t>
  </si>
  <si>
    <t>Государственная корпорация по содействию разработке, производству 
и экспорту высокотехнологичной промышленной продукции «Ростех»</t>
  </si>
  <si>
    <t>V. Адресная программа Архангельской области «Переселение граждан из аварийного жилищного фонда на 2013-2017 годы»</t>
  </si>
  <si>
    <t>VI. Государственная программа Архангельской области «Развитие инфраструктуры Соловецкого архипелага (2014 – 2019 годы)»</t>
  </si>
  <si>
    <t>VII. Государственная программа Архангельской области «Развитие транспортной системы Архангельской области (2014 - 2020 годы)»</t>
  </si>
  <si>
    <t>ГКУ Архангельской области «Дорожное агентство «Архангельскавтодор»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</si>
  <si>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«Патриотическое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годы)»</t>
  </si>
  <si>
    <t>администрация муниципального образования «Коношский муниципальный район»</t>
  </si>
  <si>
    <t xml:space="preserve">государственное казенное учреждение Архангельской области «Дирекция по развитию Соловецкого архипелага»
</t>
  </si>
  <si>
    <t>ГКУ Архангельской области «Главное управление капитального строительства»</t>
  </si>
  <si>
    <t>Строительство (создание «под ключ»)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</si>
  <si>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Проектирование транспортных развязок в муниципальном образовании «Город Архангельск»</t>
  </si>
  <si>
    <t>тыс. рублей</t>
  </si>
  <si>
    <t>Разработка проектной документации на реконструкцию мостового перехода через реку Вага на км 2+067 автомобильной дороги Вельск - Шангалы</t>
  </si>
  <si>
    <t>1.6</t>
  </si>
  <si>
    <t>Строительство "под ключ" жилья для граждан, лишившихся жилых помещений в результате пожара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</si>
  <si>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</si>
  <si>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123,5 кв. м</t>
  </si>
  <si>
    <t>Приобретение 3 жилых помещений в пос. Зеленник Верхнетоемского района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</si>
  <si>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</si>
  <si>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>строительство детского сада на 120 мест                                                          в г. Вельске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</si>
  <si>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</si>
  <si>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</si>
  <si>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2. Общеобразовательные организации и профессиональные образовательные организации в Архангельской области, в том числе:</t>
  </si>
  <si>
    <t>строительство школы на 860 учащихся в пос. Урдома Ленского района</t>
  </si>
  <si>
    <t>860 мест</t>
  </si>
  <si>
    <t>администрация муниципального образования          «Ленский муниципальный район»</t>
  </si>
  <si>
    <t>2.2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</si>
  <si>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</si>
  <si>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40 мест</t>
  </si>
  <si>
    <t xml:space="preserve">Строительство центра культурного развития по адресу: Архангельская обл., г. Каргополь, ул. Гагарина, д. 25  </t>
  </si>
  <si>
    <t>391 место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</si>
  <si>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</si>
  <si>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</si>
  <si>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</si>
  <si>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105 чел./смена</t>
  </si>
  <si>
    <t>администрация муниципального образования "Северодвинск"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</si>
  <si>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</si>
  <si>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20 чел./смена</t>
  </si>
  <si>
    <t>Разработка проектно-сметной документации на строительство больницы в пос. Березник Виноградовского района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</si>
  <si>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</si>
  <si>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Проектирование и строительство здания специального учреждения УФМС в г. Архангельске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</si>
  <si>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</si>
  <si>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</si>
  <si>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I. Государственная программа Архангельской области «Обеспечеиие качественным, доступным жильем и объектами инженерной инфраструктуры населения Архангельской области (2014-2020 годы)»</t>
  </si>
  <si>
    <t>Разработка проектной документации на реконструкцию автомобильной дороги                           Усть-Ваеньга - Осиново - Фалюки (до дер. Задориха) на участке км 45+500 - км 63+000</t>
  </si>
  <si>
    <t>Строительство автомобильной дороги Котлас - Коряжма, км 0 - км 41</t>
  </si>
  <si>
    <t>протяженность дороги 1,7 км</t>
  </si>
  <si>
    <t>Разработка проектной документации на строительство мостового перехода через реку                          Устья на км 139+309 автомобильной дороги Шангалы - Квазеньга - Кизема</t>
  </si>
  <si>
    <t xml:space="preserve">Строительство мостового перехода через реку Устья на км 78+350 автомобильной дороги Вельск - Шангалы </t>
  </si>
  <si>
    <t>протяженность:                                             дороги 1,5 км /                                 мостового перехода 145,0 п.м.</t>
  </si>
  <si>
    <t>Разработка проектной документации на строительство мостового перехода через реку                          Сельменьга на автомобильной дороге Усть-Ваеньга-Осиново-Фалюки (до дер. Задориха)</t>
  </si>
  <si>
    <t>ОТЧЕТ</t>
  </si>
  <si>
    <t>ВСЕГО по областной адресной инвестиционной программе  на 2016 год</t>
  </si>
  <si>
    <t>Государственная программа Архангельской области "Развитие образования и науки Архангельской области (2013 - 2018 годы)"</t>
  </si>
  <si>
    <t>III. Государственная программа Архангельской области   «Культура Русского Севера (2013 - 2020 годы)»</t>
  </si>
  <si>
    <t>XIII. Государственная программа Архангельской области  "Охрана окружающей среды, воспроизводство и использование природных ресурсов Архангельской области (2014-2020 годы)"</t>
  </si>
  <si>
    <t>X. Государственная программа Архангельской области  «Развитие энергетики, связи и жилищно-коммунального хозяйства Архангельской области (2014 - 2020 годы)»</t>
  </si>
  <si>
    <t>XI. Государственная программа Архангельской области  "Развитие здравоохранения Архангельской области (2013 - 2020 годы)"</t>
  </si>
  <si>
    <t>VIII. Государственная программа Архангельской области  «Устойчивое развитие сельских территорий Архангельской области (2014 - 2017 годы)»</t>
  </si>
  <si>
    <t>к уточненной сводной бюджетной росписи</t>
  </si>
  <si>
    <t>Исполнение, в процентах</t>
  </si>
  <si>
    <t>Доведено министерством финансов Архангельской области предельных лобъемов финансирования до главного распорядителя средств областного бюджета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</si>
  <si>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</si>
  <si>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</si>
  <si>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 xml:space="preserve">государственное казенное учреждение Архангельской области "Дирекция по развитию Соловецкого архипелага"
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</si>
  <si>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</si>
  <si>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</si>
  <si>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Проектирование и строительство нового пассажирского терминала аэропорта «Соловки", в том числе проведение оценки воздействия на объект всемирного наследия ЮНЕСКО</t>
  </si>
  <si>
    <t>50 чел / час</t>
  </si>
  <si>
    <t>2)</t>
  </si>
  <si>
    <t>администрация муниципального образования «Верхнетоемский муниципальный район»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</si>
  <si>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</si>
  <si>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>3.3</t>
  </si>
  <si>
    <t>Разработка проектной документации на строительство Подъезда к дер. Логиновская от автомобильной дороги Подъезд к дер. Макаровская в Няндомском районе Архангельской области</t>
  </si>
  <si>
    <t>Разработка проектной документации на строительство Подъезда к с. Шеговары от автомобильной дороги М-8 «Холмогоры» в Шенкурском районе</t>
  </si>
  <si>
    <t>Разработка проектной документации на строительство Подъезда к дер. Никифоровской от автомобильной дороги М-8 «Холмогоры» в Шенкурском районе</t>
  </si>
  <si>
    <t>Приобретение детского сада на 240 мест в пос. Березник Виноградовского района</t>
  </si>
  <si>
    <t>строительство школы на 132 места в д. Согра Верхнетоемского района</t>
  </si>
  <si>
    <t>средняя общеобразовательная школа с эстетическим уклоном на 240 мест в пос. Ерцево Коношского района</t>
  </si>
  <si>
    <t>2.3</t>
  </si>
  <si>
    <t xml:space="preserve">240 мест </t>
  </si>
  <si>
    <t>администрация муниципального образования          «Коношский муниципальный район»</t>
  </si>
  <si>
    <t>строительство детского сада на 120 мест                                     в пос. Катунино Приморского района</t>
  </si>
  <si>
    <t>XIV. Государственная программа Архангельской области  "Эффективное государственное управление в Архангельской области (2014 - 2018 годы)"</t>
  </si>
  <si>
    <t>Приобретение помещений для размещения двух отделений ГАУ АО "МФЦ" в городах Северодвинске и Архангельске</t>
  </si>
  <si>
    <t>субсидии на приобретение объектов недвижимого имущества в государственную собственность</t>
  </si>
  <si>
    <t>министерство связи и информационных технологий Архангельской области</t>
  </si>
  <si>
    <t>ГАУ Архангельской области "Архангельский региональный многофункциональный центр предоставления государственных и муниципальных услуг"</t>
  </si>
  <si>
    <t xml:space="preserve">об исполнении областной адресной инвестиционной программы за 9 месяца 2016 года </t>
  </si>
  <si>
    <t>Уточненная сводная бюджетная роспись по состоянию на 01.10.2016</t>
  </si>
  <si>
    <t>План кассовых выплат из областного бюджета на 01.10.2016</t>
  </si>
  <si>
    <t>Исполнено на 01.10.2016</t>
  </si>
  <si>
    <t>к кассовому плану на 01.10.2016</t>
  </si>
  <si>
    <t>2.4</t>
  </si>
  <si>
    <t>приобретение учебной базы в пос. Октябрьский Устьянского района для нужд ГАПОУ АО "Устьянский индустриальный техникум"</t>
  </si>
  <si>
    <t>министерство образования и науки Архангельской области</t>
  </si>
  <si>
    <t>ГАПОУ Архангельской области "Устьянский индустриальный техникум"</t>
  </si>
  <si>
    <t xml:space="preserve">Строительство объекта незавершенного строительства -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 </t>
  </si>
  <si>
    <t>Реконструкция автомобильной дороги Архангельск (от пос. Брин-Наволок) - Каргополь - Вытегра (до с. Прокшино) на участке Самодед-Кяма</t>
  </si>
  <si>
    <t>Строительство автомобильной дороги Архангельск (от пос. Брин-Наволок) - Каргополь - Вытегра (до с. Прокшино) на участке км 124 - км 132 с путепроводом на ст. Емца</t>
  </si>
  <si>
    <t xml:space="preserve">Утверждено на 2016 год                     (в ред.22.09.2016                         № 464-28-ОЗ)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</si>
</sst>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#,##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i/>
      <sz val="14"/>
      <color indexed="8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Font="1"/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0" fillId="0" borderId="0" xfId="0" applyFont="1" applyBorder="1"/>
    <xf numFmtId="0" fontId="2" fillId="0" borderId="0" xfId="0" applyFont="1" applyBorder="1" applyAlignment="1"/>
    <xf numFmtId="0" fontId="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9" fillId="0" borderId="3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164" fontId="12" fillId="0" borderId="0" xfId="0" applyNumberFormat="1" applyFont="1" applyBorder="1" applyAlignment="1">
      <alignment horizontal="center" wrapText="1"/>
    </xf>
    <xf numFmtId="0" fontId="9" fillId="0" borderId="0" xfId="0" applyFont="1" applyAlignment="1"/>
    <xf numFmtId="0" fontId="9" fillId="0" borderId="0" xfId="0" applyFont="1" applyBorder="1"/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/>
    </xf>
    <xf numFmtId="164" fontId="9" fillId="2" borderId="1" xfId="2" applyFont="1" applyFill="1" applyBorder="1" applyAlignment="1">
      <alignment horizontal="left" vertical="center" wrapText="1"/>
    </xf>
    <xf numFmtId="164" fontId="9" fillId="2" borderId="1" xfId="2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left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5" fillId="0" borderId="0" xfId="0" applyFont="1" applyBorder="1"/>
    <xf numFmtId="165" fontId="16" fillId="2" borderId="1" xfId="0" applyNumberFormat="1" applyFont="1" applyFill="1" applyBorder="1" applyAlignment="1">
      <alignment horizontal="right" vertical="center"/>
    </xf>
    <xf numFmtId="166" fontId="17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right" vertical="center"/>
    </xf>
    <xf numFmtId="166" fontId="13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7" fontId="18" fillId="2" borderId="1" xfId="0" applyNumberFormat="1" applyFont="1" applyFill="1" applyBorder="1" applyAlignment="1">
      <alignment horizontal="right" vertical="center" indent="1"/>
    </xf>
    <xf numFmtId="165" fontId="18" fillId="2" borderId="1" xfId="2" applyNumberFormat="1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right" vertical="center"/>
    </xf>
    <xf numFmtId="165" fontId="16" fillId="2" borderId="1" xfId="0" applyNumberFormat="1" applyFont="1" applyFill="1" applyBorder="1" applyAlignment="1">
      <alignment horizontal="left" vertical="center"/>
    </xf>
    <xf numFmtId="165" fontId="16" fillId="2" borderId="1" xfId="0" applyNumberFormat="1" applyFont="1" applyFill="1" applyBorder="1" applyAlignment="1">
      <alignment horizontal="left" vertical="center" wrapText="1"/>
    </xf>
    <xf numFmtId="165" fontId="16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center"/>
    </xf>
    <xf numFmtId="165" fontId="18" fillId="2" borderId="1" xfId="1" applyNumberFormat="1" applyFont="1" applyFill="1" applyBorder="1" applyAlignment="1">
      <alignment vertical="center" wrapText="1"/>
    </xf>
    <xf numFmtId="165" fontId="16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horizontal="center" vertical="center" wrapText="1"/>
    </xf>
    <xf numFmtId="165" fontId="18" fillId="2" borderId="1" xfId="1" applyNumberFormat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 wrapText="1"/>
    </xf>
    <xf numFmtId="164" fontId="9" fillId="2" borderId="9" xfId="2" applyFont="1" applyFill="1" applyBorder="1" applyAlignment="1">
      <alignment horizontal="left" vertical="center" wrapText="1"/>
    </xf>
    <xf numFmtId="164" fontId="9" fillId="2" borderId="9" xfId="2" applyFont="1" applyFill="1" applyBorder="1" applyAlignment="1">
      <alignment horizontal="center" vertical="center"/>
    </xf>
    <xf numFmtId="164" fontId="9" fillId="2" borderId="9" xfId="2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164" fontId="9" fillId="2" borderId="6" xfId="2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165" fontId="19" fillId="2" borderId="1" xfId="2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/>
    <xf numFmtId="166" fontId="18" fillId="2" borderId="1" xfId="0" applyNumberFormat="1" applyFont="1" applyFill="1" applyBorder="1" applyAlignment="1">
      <alignment vertical="center"/>
    </xf>
    <xf numFmtId="166" fontId="18" fillId="2" borderId="1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/>
    <xf numFmtId="0" fontId="18" fillId="2" borderId="9" xfId="0" applyFont="1" applyFill="1" applyBorder="1" applyAlignment="1"/>
    <xf numFmtId="0" fontId="2" fillId="2" borderId="0" xfId="0" applyFont="1" applyFill="1" applyBorder="1" applyAlignment="1"/>
    <xf numFmtId="165" fontId="18" fillId="2" borderId="1" xfId="1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/>
    </xf>
    <xf numFmtId="0" fontId="7" fillId="2" borderId="4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/>
    </xf>
    <xf numFmtId="0" fontId="3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4" fontId="10" fillId="0" borderId="0" xfId="1" applyFont="1" applyAlignment="1">
      <alignment horizontal="center" vertical="center"/>
    </xf>
    <xf numFmtId="164" fontId="12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164" fontId="9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5"/>
  <sheetViews>
    <sheetView showGridLines="0" tabSelected="1" view="pageBreakPreview" zoomScaleNormal="61" zoomScaleSheetLayoutView="100" workbookViewId="0">
      <selection activeCell="M9" sqref="M9"/>
    </sheetView>
  </sheetViews>
  <sheetFormatPr defaultColWidth="9.140625" defaultRowHeight="15.75"/>
  <cols>
    <col min="1" max="1" width="5.7109375" style="27" customWidth="1"/>
    <col min="2" max="2" width="46.140625" style="26" customWidth="1"/>
    <col min="3" max="3" width="13.42578125" style="26" hidden="1" customWidth="1"/>
    <col min="4" max="4" width="18.7109375" style="26" hidden="1" customWidth="1"/>
    <col min="5" max="5" width="22.42578125" style="26" hidden="1" customWidth="1"/>
    <col min="6" max="6" width="21.28515625" style="26" customWidth="1"/>
    <col min="7" max="7" width="23.5703125" style="26" customWidth="1"/>
    <col min="8" max="8" width="7.7109375" style="26" hidden="1" customWidth="1"/>
    <col min="9" max="9" width="7.85546875" style="26" hidden="1" customWidth="1"/>
    <col min="10" max="10" width="21.5703125" style="26" hidden="1" customWidth="1"/>
    <col min="11" max="11" width="27.28515625" style="26" customWidth="1"/>
    <col min="12" max="12" width="21.5703125" style="23" customWidth="1"/>
    <col min="13" max="13" width="23.42578125" style="23" customWidth="1"/>
    <col min="14" max="14" width="24.28515625" style="23" customWidth="1"/>
    <col min="15" max="15" width="20" style="23" customWidth="1"/>
    <col min="16" max="16" width="16" style="23" customWidth="1"/>
    <col min="17" max="17" width="15.5703125" style="23" customWidth="1"/>
    <col min="18" max="18" width="0" style="5" hidden="1" customWidth="1"/>
    <col min="19" max="25" width="9.140625" style="5"/>
    <col min="26" max="16384" width="9.140625" style="1"/>
  </cols>
  <sheetData>
    <row r="1" spans="1:25" s="9" customFormat="1">
      <c r="A1" s="128" t="s">
        <v>149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0"/>
      <c r="S1" s="10"/>
      <c r="T1" s="10"/>
      <c r="U1" s="10"/>
      <c r="V1" s="10"/>
      <c r="W1" s="10"/>
      <c r="X1" s="10"/>
      <c r="Y1" s="10"/>
    </row>
    <row r="2" spans="1:25" ht="18" customHeight="1">
      <c r="A2" s="129" t="s">
        <v>186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5" s="9" customFormat="1" ht="18.75" customHeight="1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0"/>
      <c r="S3" s="10"/>
      <c r="T3" s="10"/>
      <c r="U3" s="10"/>
      <c r="V3" s="10"/>
      <c r="W3" s="10"/>
      <c r="X3" s="10"/>
      <c r="Y3" s="10"/>
    </row>
    <row r="4" spans="1:25" s="9" customFormat="1" ht="18.75" customHeigh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  <c r="M4" s="23"/>
      <c r="N4" s="23"/>
      <c r="O4" s="23"/>
      <c r="P4" s="104" t="s">
        <v>109</v>
      </c>
      <c r="Q4" s="104"/>
      <c r="R4" s="10"/>
      <c r="S4" s="10"/>
      <c r="T4" s="10"/>
      <c r="U4" s="10"/>
      <c r="V4" s="10"/>
      <c r="W4" s="10"/>
      <c r="X4" s="10"/>
      <c r="Y4" s="10"/>
    </row>
    <row r="5" spans="1:25" s="9" customFormat="1" ht="24" customHeight="1">
      <c r="A5" s="122" t="s">
        <v>44</v>
      </c>
      <c r="B5" s="135" t="s">
        <v>45</v>
      </c>
      <c r="C5" s="116" t="s">
        <v>2</v>
      </c>
      <c r="D5" s="116" t="s">
        <v>3</v>
      </c>
      <c r="E5" s="116" t="s">
        <v>4</v>
      </c>
      <c r="F5" s="116" t="s">
        <v>20</v>
      </c>
      <c r="G5" s="116" t="s">
        <v>19</v>
      </c>
      <c r="H5" s="135" t="s">
        <v>5</v>
      </c>
      <c r="I5" s="135"/>
      <c r="J5" s="116" t="s">
        <v>46</v>
      </c>
      <c r="K5" s="133" t="s">
        <v>198</v>
      </c>
      <c r="L5" s="131" t="s">
        <v>187</v>
      </c>
      <c r="M5" s="131" t="s">
        <v>188</v>
      </c>
      <c r="N5" s="132" t="s">
        <v>159</v>
      </c>
      <c r="O5" s="131" t="s">
        <v>189</v>
      </c>
      <c r="P5" s="131" t="s">
        <v>158</v>
      </c>
      <c r="Q5" s="131"/>
      <c r="R5" s="10"/>
      <c r="S5" s="10"/>
      <c r="T5" s="10"/>
      <c r="U5" s="10"/>
      <c r="V5" s="10"/>
      <c r="W5" s="10"/>
      <c r="X5" s="10"/>
      <c r="Y5" s="10"/>
    </row>
    <row r="6" spans="1:25" s="9" customFormat="1" ht="133.9" customHeight="1">
      <c r="A6" s="123"/>
      <c r="B6" s="135"/>
      <c r="C6" s="121"/>
      <c r="D6" s="117"/>
      <c r="E6" s="117"/>
      <c r="F6" s="117"/>
      <c r="G6" s="117"/>
      <c r="H6" s="17" t="s">
        <v>0</v>
      </c>
      <c r="I6" s="17" t="s">
        <v>10</v>
      </c>
      <c r="J6" s="117"/>
      <c r="K6" s="134"/>
      <c r="L6" s="131"/>
      <c r="M6" s="131"/>
      <c r="N6" s="132"/>
      <c r="O6" s="131"/>
      <c r="P6" s="16" t="s">
        <v>157</v>
      </c>
      <c r="Q6" s="85" t="s">
        <v>190</v>
      </c>
      <c r="R6" s="10"/>
      <c r="S6" s="10"/>
      <c r="T6" s="10"/>
      <c r="U6" s="10"/>
      <c r="V6" s="10"/>
      <c r="W6" s="10"/>
      <c r="X6" s="10"/>
      <c r="Y6" s="10"/>
    </row>
    <row r="7" spans="1:25" s="9" customFormat="1" ht="21" customHeight="1">
      <c r="A7" s="15">
        <v>1</v>
      </c>
      <c r="B7" s="14">
        <v>2</v>
      </c>
      <c r="C7" s="14">
        <v>3</v>
      </c>
      <c r="D7" s="11">
        <v>4</v>
      </c>
      <c r="E7" s="11">
        <v>5</v>
      </c>
      <c r="F7" s="11">
        <v>3</v>
      </c>
      <c r="G7" s="11">
        <v>4</v>
      </c>
      <c r="H7" s="14">
        <v>8</v>
      </c>
      <c r="I7" s="14">
        <v>9</v>
      </c>
      <c r="J7" s="11">
        <v>10</v>
      </c>
      <c r="K7" s="8">
        <v>5</v>
      </c>
      <c r="L7" s="13">
        <v>6</v>
      </c>
      <c r="M7" s="13">
        <v>7</v>
      </c>
      <c r="N7" s="13">
        <v>8</v>
      </c>
      <c r="O7" s="13">
        <v>9</v>
      </c>
      <c r="P7" s="13">
        <v>10</v>
      </c>
      <c r="Q7" s="13">
        <v>11</v>
      </c>
      <c r="R7" s="10"/>
      <c r="S7" s="10"/>
      <c r="T7" s="10"/>
      <c r="U7" s="10"/>
      <c r="V7" s="10"/>
      <c r="W7" s="10"/>
      <c r="X7" s="10"/>
      <c r="Y7" s="10"/>
    </row>
    <row r="8" spans="1:25" s="9" customFormat="1" ht="19.5" customHeight="1">
      <c r="A8" s="126" t="s">
        <v>150</v>
      </c>
      <c r="B8" s="127"/>
      <c r="C8" s="127"/>
      <c r="D8" s="127"/>
      <c r="E8" s="127"/>
      <c r="F8" s="127"/>
      <c r="G8" s="127"/>
      <c r="H8" s="24"/>
      <c r="I8" s="24"/>
      <c r="J8" s="12">
        <f>J9+J20+J35+J41+J44+J63+J78+J39+J51+J73+J80+J82+J84+J92+J87</f>
        <v>13614467.37758</v>
      </c>
      <c r="K8" s="65">
        <f>K9+K20+K35+K41+K44+K63+K78+K39+K51+K73+K80+K82+K84+K92+K87</f>
        <v>1958301.72</v>
      </c>
      <c r="L8" s="65">
        <f>L9+L20+L35+L41+L44+L63+L78+L39+L51+L73+L80+L82+L84+L92+L87</f>
        <v>1958301.72</v>
      </c>
      <c r="M8" s="65">
        <f t="shared" ref="M8:O8" si="0">M9+M20+M35+M41+M44+M63+M78+M39+M51+M73+M80+M82+M84+M92+M87</f>
        <v>1180257.4125600001</v>
      </c>
      <c r="N8" s="65">
        <f t="shared" si="0"/>
        <v>1180236.1315600001</v>
      </c>
      <c r="O8" s="65">
        <f t="shared" si="0"/>
        <v>1163822.6353600002</v>
      </c>
      <c r="P8" s="66">
        <f>O8/L8*100</f>
        <v>59.430200335012742</v>
      </c>
      <c r="Q8" s="66">
        <f>O8/M8*100</f>
        <v>98.607526034142623</v>
      </c>
      <c r="R8" s="67"/>
      <c r="S8" s="10"/>
      <c r="T8" s="10"/>
      <c r="U8" s="10"/>
      <c r="V8" s="10"/>
      <c r="W8" s="10"/>
      <c r="X8" s="10"/>
      <c r="Y8" s="10"/>
    </row>
    <row r="9" spans="1:25" ht="51" customHeight="1">
      <c r="A9" s="119" t="s">
        <v>141</v>
      </c>
      <c r="B9" s="120"/>
      <c r="C9" s="120"/>
      <c r="D9" s="120"/>
      <c r="E9" s="120"/>
      <c r="F9" s="120"/>
      <c r="G9" s="120"/>
      <c r="H9" s="28"/>
      <c r="I9" s="28"/>
      <c r="J9" s="29">
        <f t="shared" ref="J9:O9" si="1">J10+J17+J19</f>
        <v>297111.99900000001</v>
      </c>
      <c r="K9" s="68">
        <f t="shared" si="1"/>
        <v>109882.02</v>
      </c>
      <c r="L9" s="68">
        <f t="shared" ref="L9" si="2">L10+L17+L19</f>
        <v>109882.02</v>
      </c>
      <c r="M9" s="68">
        <f t="shared" si="1"/>
        <v>42988.27147</v>
      </c>
      <c r="N9" s="68">
        <f t="shared" si="1"/>
        <v>42988.27147</v>
      </c>
      <c r="O9" s="68">
        <f t="shared" si="1"/>
        <v>42988.27147</v>
      </c>
      <c r="P9" s="69">
        <f t="shared" ref="P9:P75" si="3">O9/L9*100</f>
        <v>39.122207136344961</v>
      </c>
      <c r="Q9" s="69">
        <f t="shared" ref="Q9:Q76" si="4">O9/M9*100</f>
        <v>100</v>
      </c>
      <c r="R9" s="67"/>
    </row>
    <row r="10" spans="1:25" s="9" customFormat="1" ht="92.25" customHeight="1">
      <c r="A10" s="124" t="s">
        <v>72</v>
      </c>
      <c r="B10" s="125"/>
      <c r="C10" s="125"/>
      <c r="D10" s="125"/>
      <c r="E10" s="125"/>
      <c r="F10" s="125"/>
      <c r="G10" s="125"/>
      <c r="H10" s="30"/>
      <c r="I10" s="30"/>
      <c r="J10" s="31">
        <f t="shared" ref="J10:O10" si="5">SUM(J11:J16)</f>
        <v>282183.69900000002</v>
      </c>
      <c r="K10" s="70">
        <f t="shared" si="5"/>
        <v>107615.42</v>
      </c>
      <c r="L10" s="70">
        <f t="shared" ref="L10" si="6">SUM(L11:L16)</f>
        <v>107615.42</v>
      </c>
      <c r="M10" s="70">
        <f t="shared" si="5"/>
        <v>42988.27147</v>
      </c>
      <c r="N10" s="70">
        <f t="shared" si="5"/>
        <v>42988.27147</v>
      </c>
      <c r="O10" s="70">
        <f t="shared" si="5"/>
        <v>42988.27147</v>
      </c>
      <c r="P10" s="71">
        <f t="shared" si="3"/>
        <v>39.946200525909767</v>
      </c>
      <c r="Q10" s="71">
        <f t="shared" si="4"/>
        <v>100</v>
      </c>
      <c r="R10" s="93"/>
      <c r="S10" s="10"/>
      <c r="T10" s="10"/>
      <c r="U10" s="10"/>
      <c r="V10" s="10"/>
      <c r="W10" s="10"/>
      <c r="X10" s="10"/>
      <c r="Y10" s="10"/>
    </row>
    <row r="11" spans="1:25" s="9" customFormat="1" ht="100.15" customHeight="1">
      <c r="A11" s="32" t="s">
        <v>62</v>
      </c>
      <c r="B11" s="33" t="s">
        <v>93</v>
      </c>
      <c r="C11" s="34"/>
      <c r="D11" s="35" t="s">
        <v>7</v>
      </c>
      <c r="E11" s="35" t="s">
        <v>30</v>
      </c>
      <c r="F11" s="35" t="s">
        <v>95</v>
      </c>
      <c r="G11" s="35" t="s">
        <v>106</v>
      </c>
      <c r="H11" s="35">
        <v>2015</v>
      </c>
      <c r="I11" s="35">
        <v>2016</v>
      </c>
      <c r="J11" s="36">
        <v>81056.298999999999</v>
      </c>
      <c r="K11" s="72">
        <f>70762.72-2731.6-14733.7+15823.9</f>
        <v>69121.319999999992</v>
      </c>
      <c r="L11" s="72">
        <f>70762.72-2731.6-14733.7+15823.9</f>
        <v>69121.319999999992</v>
      </c>
      <c r="M11" s="72">
        <f>11883.95953+9.086+9.80594+1038.51387+3296.36941+55.56698+1846.479+503.52924+583.0985+9.086</f>
        <v>19235.494469999998</v>
      </c>
      <c r="N11" s="72">
        <f t="shared" ref="N11:O11" si="7">11883.95953+9.086+9.80594+1038.51387+3296.36941+55.56698+1846.479+503.52924+583.0985+9.086</f>
        <v>19235.494469999998</v>
      </c>
      <c r="O11" s="72">
        <f t="shared" si="7"/>
        <v>19235.494469999998</v>
      </c>
      <c r="P11" s="71">
        <f t="shared" si="3"/>
        <v>27.82859828197725</v>
      </c>
      <c r="Q11" s="71">
        <f t="shared" si="4"/>
        <v>100</v>
      </c>
      <c r="R11" s="93"/>
      <c r="S11" s="10"/>
      <c r="T11" s="10"/>
      <c r="U11" s="10"/>
      <c r="V11" s="10"/>
      <c r="W11" s="10"/>
      <c r="X11" s="10"/>
      <c r="Y11" s="10"/>
    </row>
    <row r="12" spans="1:25" s="9" customFormat="1" ht="102" customHeight="1">
      <c r="A12" s="32" t="s">
        <v>63</v>
      </c>
      <c r="B12" s="33" t="s">
        <v>74</v>
      </c>
      <c r="C12" s="35" t="s">
        <v>78</v>
      </c>
      <c r="D12" s="35" t="s">
        <v>54</v>
      </c>
      <c r="E12" s="35" t="s">
        <v>8</v>
      </c>
      <c r="F12" s="35" t="s">
        <v>95</v>
      </c>
      <c r="G12" s="35" t="s">
        <v>75</v>
      </c>
      <c r="H12" s="35">
        <v>2009</v>
      </c>
      <c r="I12" s="35">
        <v>2016</v>
      </c>
      <c r="J12" s="36">
        <v>59264.7</v>
      </c>
      <c r="K12" s="72">
        <v>342</v>
      </c>
      <c r="L12" s="72">
        <v>342</v>
      </c>
      <c r="M12" s="72">
        <v>342</v>
      </c>
      <c r="N12" s="72">
        <v>342</v>
      </c>
      <c r="O12" s="72">
        <v>342</v>
      </c>
      <c r="P12" s="71">
        <f t="shared" si="3"/>
        <v>100</v>
      </c>
      <c r="Q12" s="71">
        <f t="shared" si="4"/>
        <v>100</v>
      </c>
      <c r="R12" s="93"/>
      <c r="S12" s="10"/>
      <c r="T12" s="10"/>
      <c r="U12" s="10"/>
      <c r="V12" s="10"/>
      <c r="W12" s="10"/>
      <c r="X12" s="10"/>
      <c r="Y12" s="10"/>
    </row>
    <row r="13" spans="1:25" s="9" customFormat="1" ht="102" customHeight="1">
      <c r="A13" s="32" t="s">
        <v>64</v>
      </c>
      <c r="B13" s="33" t="s">
        <v>81</v>
      </c>
      <c r="C13" s="35" t="s">
        <v>1</v>
      </c>
      <c r="D13" s="35" t="s">
        <v>14</v>
      </c>
      <c r="E13" s="35" t="s">
        <v>30</v>
      </c>
      <c r="F13" s="35" t="s">
        <v>95</v>
      </c>
      <c r="G13" s="35" t="s">
        <v>106</v>
      </c>
      <c r="H13" s="35">
        <v>2016</v>
      </c>
      <c r="I13" s="35">
        <v>2017</v>
      </c>
      <c r="J13" s="36">
        <v>7510.8</v>
      </c>
      <c r="K13" s="72">
        <f>7510.8+14733.7</f>
        <v>22244.5</v>
      </c>
      <c r="L13" s="72">
        <f>7510.8+14733.7</f>
        <v>22244.5</v>
      </c>
      <c r="M13" s="72">
        <f>3010.777+4500</f>
        <v>7510.777</v>
      </c>
      <c r="N13" s="72">
        <f t="shared" ref="N13:O13" si="8">3010.777+4500</f>
        <v>7510.777</v>
      </c>
      <c r="O13" s="72">
        <f t="shared" si="8"/>
        <v>7510.777</v>
      </c>
      <c r="P13" s="71">
        <f t="shared" si="3"/>
        <v>33.764647440940458</v>
      </c>
      <c r="Q13" s="71">
        <f t="shared" si="4"/>
        <v>100</v>
      </c>
      <c r="R13" s="93"/>
      <c r="S13" s="10"/>
      <c r="T13" s="10"/>
      <c r="U13" s="10"/>
      <c r="V13" s="10"/>
      <c r="W13" s="10"/>
      <c r="X13" s="10"/>
      <c r="Y13" s="10"/>
    </row>
    <row r="14" spans="1:25" s="9" customFormat="1" ht="101.25" customHeight="1">
      <c r="A14" s="32" t="s">
        <v>79</v>
      </c>
      <c r="B14" s="33" t="s">
        <v>82</v>
      </c>
      <c r="C14" s="35" t="s">
        <v>1</v>
      </c>
      <c r="D14" s="35" t="s">
        <v>14</v>
      </c>
      <c r="E14" s="35" t="s">
        <v>30</v>
      </c>
      <c r="F14" s="35" t="s">
        <v>95</v>
      </c>
      <c r="G14" s="35" t="s">
        <v>106</v>
      </c>
      <c r="H14" s="35">
        <v>2016</v>
      </c>
      <c r="I14" s="35">
        <v>2016</v>
      </c>
      <c r="J14" s="36">
        <v>2700</v>
      </c>
      <c r="K14" s="72">
        <v>2707.6</v>
      </c>
      <c r="L14" s="72">
        <v>2707.6</v>
      </c>
      <c r="M14" s="72">
        <v>2700</v>
      </c>
      <c r="N14" s="72">
        <v>2700</v>
      </c>
      <c r="O14" s="72">
        <v>2700</v>
      </c>
      <c r="P14" s="71">
        <f t="shared" si="3"/>
        <v>99.719308612793625</v>
      </c>
      <c r="Q14" s="71">
        <f t="shared" si="4"/>
        <v>100</v>
      </c>
      <c r="R14" s="93"/>
      <c r="S14" s="10"/>
      <c r="T14" s="10"/>
      <c r="U14" s="10"/>
      <c r="V14" s="10"/>
      <c r="W14" s="10"/>
      <c r="X14" s="10"/>
      <c r="Y14" s="10"/>
    </row>
    <row r="15" spans="1:25" s="9" customFormat="1" ht="93.6" customHeight="1">
      <c r="A15" s="32" t="s">
        <v>80</v>
      </c>
      <c r="B15" s="33" t="s">
        <v>108</v>
      </c>
      <c r="C15" s="35" t="s">
        <v>1</v>
      </c>
      <c r="D15" s="35" t="s">
        <v>14</v>
      </c>
      <c r="E15" s="35" t="s">
        <v>30</v>
      </c>
      <c r="F15" s="35" t="s">
        <v>95</v>
      </c>
      <c r="G15" s="35" t="s">
        <v>106</v>
      </c>
      <c r="H15" s="35">
        <v>2016</v>
      </c>
      <c r="I15" s="35">
        <v>2016</v>
      </c>
      <c r="J15" s="36">
        <v>13200</v>
      </c>
      <c r="K15" s="72">
        <v>13200</v>
      </c>
      <c r="L15" s="72">
        <v>13200</v>
      </c>
      <c r="M15" s="72">
        <v>13200</v>
      </c>
      <c r="N15" s="72">
        <v>13200</v>
      </c>
      <c r="O15" s="72">
        <v>13200</v>
      </c>
      <c r="P15" s="71">
        <f t="shared" ref="P15" si="9">O15/L15*100</f>
        <v>100</v>
      </c>
      <c r="Q15" s="71">
        <f t="shared" ref="Q15" si="10">O15/M15*100</f>
        <v>100</v>
      </c>
      <c r="R15" s="93"/>
      <c r="S15" s="10"/>
      <c r="T15" s="10"/>
      <c r="U15" s="10"/>
      <c r="V15" s="10"/>
      <c r="W15" s="10"/>
      <c r="X15" s="10"/>
      <c r="Y15" s="10"/>
    </row>
    <row r="16" spans="1:25" s="9" customFormat="1" ht="99.6" hidden="1" customHeight="1">
      <c r="A16" s="37" t="s">
        <v>111</v>
      </c>
      <c r="B16" s="38" t="s">
        <v>112</v>
      </c>
      <c r="C16" s="34" t="s">
        <v>1</v>
      </c>
      <c r="D16" s="34" t="s">
        <v>14</v>
      </c>
      <c r="E16" s="34" t="s">
        <v>30</v>
      </c>
      <c r="F16" s="34" t="s">
        <v>95</v>
      </c>
      <c r="G16" s="34" t="s">
        <v>83</v>
      </c>
      <c r="H16" s="34">
        <v>2016</v>
      </c>
      <c r="I16" s="34">
        <v>2018</v>
      </c>
      <c r="J16" s="39">
        <v>118451.9</v>
      </c>
      <c r="K16" s="73"/>
      <c r="L16" s="73"/>
      <c r="M16" s="72">
        <v>0</v>
      </c>
      <c r="N16" s="72">
        <v>0</v>
      </c>
      <c r="O16" s="72">
        <v>0</v>
      </c>
      <c r="P16" s="71" t="e">
        <f t="shared" ref="P16" si="11">O16/L16*100</f>
        <v>#DIV/0!</v>
      </c>
      <c r="Q16" s="71">
        <v>0</v>
      </c>
      <c r="R16" s="93"/>
      <c r="S16" s="10"/>
      <c r="T16" s="10"/>
      <c r="U16" s="10"/>
      <c r="V16" s="10"/>
      <c r="W16" s="10"/>
      <c r="X16" s="10"/>
      <c r="Y16" s="10"/>
    </row>
    <row r="17" spans="1:25" s="9" customFormat="1" ht="90.75" customHeight="1">
      <c r="A17" s="106" t="s">
        <v>113</v>
      </c>
      <c r="B17" s="111"/>
      <c r="C17" s="111"/>
      <c r="D17" s="111"/>
      <c r="E17" s="111"/>
      <c r="F17" s="112"/>
      <c r="G17" s="112"/>
      <c r="H17" s="30"/>
      <c r="I17" s="30"/>
      <c r="J17" s="31">
        <f t="shared" ref="J17:L17" si="12">J18</f>
        <v>3705</v>
      </c>
      <c r="K17" s="70">
        <f t="shared" si="12"/>
        <v>1296.8</v>
      </c>
      <c r="L17" s="70">
        <f t="shared" si="12"/>
        <v>1296.8</v>
      </c>
      <c r="M17" s="70"/>
      <c r="N17" s="70"/>
      <c r="O17" s="70"/>
      <c r="P17" s="71"/>
      <c r="Q17" s="71"/>
      <c r="R17" s="93"/>
      <c r="S17" s="10"/>
      <c r="T17" s="10"/>
      <c r="U17" s="10"/>
      <c r="V17" s="10"/>
      <c r="W17" s="10"/>
      <c r="X17" s="10"/>
      <c r="Y17" s="10"/>
    </row>
    <row r="18" spans="1:25" s="9" customFormat="1" ht="107.45" customHeight="1">
      <c r="A18" s="32" t="s">
        <v>62</v>
      </c>
      <c r="B18" s="33" t="s">
        <v>115</v>
      </c>
      <c r="C18" s="34" t="s">
        <v>114</v>
      </c>
      <c r="D18" s="35" t="s">
        <v>11</v>
      </c>
      <c r="E18" s="35" t="s">
        <v>30</v>
      </c>
      <c r="F18" s="35" t="s">
        <v>95</v>
      </c>
      <c r="G18" s="35" t="s">
        <v>83</v>
      </c>
      <c r="H18" s="35">
        <v>2013</v>
      </c>
      <c r="I18" s="35">
        <v>2016</v>
      </c>
      <c r="J18" s="36">
        <v>3705</v>
      </c>
      <c r="K18" s="74">
        <v>1296.8</v>
      </c>
      <c r="L18" s="74">
        <v>1296.8</v>
      </c>
      <c r="M18" s="72"/>
      <c r="N18" s="72"/>
      <c r="O18" s="72"/>
      <c r="P18" s="71"/>
      <c r="Q18" s="71"/>
      <c r="R18" s="93"/>
      <c r="S18" s="10"/>
      <c r="T18" s="10"/>
      <c r="U18" s="10"/>
      <c r="V18" s="10"/>
      <c r="W18" s="10"/>
      <c r="X18" s="10"/>
      <c r="Y18" s="10"/>
    </row>
    <row r="19" spans="1:25" s="9" customFormat="1" ht="124.15" customHeight="1">
      <c r="A19" s="106" t="s">
        <v>116</v>
      </c>
      <c r="B19" s="107"/>
      <c r="C19" s="107"/>
      <c r="D19" s="107"/>
      <c r="E19" s="35" t="s">
        <v>8</v>
      </c>
      <c r="F19" s="35" t="s">
        <v>95</v>
      </c>
      <c r="G19" s="35" t="s">
        <v>50</v>
      </c>
      <c r="H19" s="35">
        <v>2014</v>
      </c>
      <c r="I19" s="35">
        <v>2017</v>
      </c>
      <c r="J19" s="36">
        <v>11223.3</v>
      </c>
      <c r="K19" s="70">
        <v>969.8</v>
      </c>
      <c r="L19" s="70">
        <v>969.8</v>
      </c>
      <c r="M19" s="72"/>
      <c r="N19" s="72"/>
      <c r="O19" s="72"/>
      <c r="P19" s="71"/>
      <c r="Q19" s="71"/>
      <c r="R19" s="93"/>
      <c r="S19" s="10"/>
      <c r="T19" s="10"/>
      <c r="U19" s="10"/>
      <c r="V19" s="10"/>
      <c r="W19" s="10"/>
      <c r="X19" s="10"/>
      <c r="Y19" s="10"/>
    </row>
    <row r="20" spans="1:25" ht="45.6" customHeight="1">
      <c r="A20" s="108" t="s">
        <v>97</v>
      </c>
      <c r="B20" s="109"/>
      <c r="C20" s="109"/>
      <c r="D20" s="109"/>
      <c r="E20" s="109"/>
      <c r="F20" s="109"/>
      <c r="G20" s="109"/>
      <c r="H20" s="28"/>
      <c r="I20" s="28"/>
      <c r="J20" s="29">
        <f t="shared" ref="J20" si="13">J21+J30</f>
        <v>2074289.65858</v>
      </c>
      <c r="K20" s="68">
        <f t="shared" ref="K20:L20" si="14">K21+K30</f>
        <v>178606.9</v>
      </c>
      <c r="L20" s="68">
        <f t="shared" si="14"/>
        <v>178606.9</v>
      </c>
      <c r="M20" s="68">
        <f t="shared" ref="M20:O20" si="15">M21+M30</f>
        <v>145642.49685</v>
      </c>
      <c r="N20" s="68">
        <f t="shared" si="15"/>
        <v>145642.49685</v>
      </c>
      <c r="O20" s="68">
        <f t="shared" si="15"/>
        <v>145642.49685</v>
      </c>
      <c r="P20" s="69">
        <f t="shared" si="3"/>
        <v>81.543600415213518</v>
      </c>
      <c r="Q20" s="69">
        <f t="shared" si="4"/>
        <v>100</v>
      </c>
      <c r="R20" s="93"/>
    </row>
    <row r="21" spans="1:25" s="9" customFormat="1" ht="43.15" customHeight="1">
      <c r="A21" s="106" t="s">
        <v>61</v>
      </c>
      <c r="B21" s="118"/>
      <c r="C21" s="118"/>
      <c r="D21" s="118"/>
      <c r="E21" s="118"/>
      <c r="F21" s="118"/>
      <c r="G21" s="118"/>
      <c r="H21" s="30"/>
      <c r="I21" s="30"/>
      <c r="J21" s="31">
        <f t="shared" ref="J21" si="16">SUM(J25:J29)</f>
        <v>794215.74958000006</v>
      </c>
      <c r="K21" s="70">
        <f t="shared" ref="K21:L21" si="17">SUM(K25:K29)</f>
        <v>161665.79999999999</v>
      </c>
      <c r="L21" s="70">
        <f t="shared" si="17"/>
        <v>161665.79999999999</v>
      </c>
      <c r="M21" s="70">
        <f t="shared" ref="M21:O21" si="18">SUM(M25:M29)</f>
        <v>128807.66791</v>
      </c>
      <c r="N21" s="70">
        <f t="shared" si="18"/>
        <v>128807.66791</v>
      </c>
      <c r="O21" s="70">
        <f t="shared" si="18"/>
        <v>128807.66791</v>
      </c>
      <c r="P21" s="71">
        <f t="shared" si="3"/>
        <v>79.675273255073137</v>
      </c>
      <c r="Q21" s="71">
        <f t="shared" si="4"/>
        <v>100</v>
      </c>
      <c r="R21" s="93"/>
      <c r="S21" s="10"/>
      <c r="T21" s="10"/>
      <c r="U21" s="10"/>
      <c r="V21" s="10"/>
      <c r="W21" s="10"/>
      <c r="X21" s="10"/>
      <c r="Y21" s="10"/>
    </row>
    <row r="22" spans="1:25" ht="109.15" hidden="1" customHeight="1">
      <c r="A22" s="32" t="s">
        <v>62</v>
      </c>
      <c r="B22" s="33" t="s">
        <v>66</v>
      </c>
      <c r="C22" s="35" t="s">
        <v>6</v>
      </c>
      <c r="D22" s="35" t="s">
        <v>7</v>
      </c>
      <c r="E22" s="35" t="s">
        <v>8</v>
      </c>
      <c r="F22" s="35" t="s">
        <v>9</v>
      </c>
      <c r="G22" s="35" t="s">
        <v>26</v>
      </c>
      <c r="H22" s="35">
        <v>2014</v>
      </c>
      <c r="I22" s="35">
        <v>2016</v>
      </c>
      <c r="J22" s="36">
        <v>129782.1977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1" t="e">
        <f t="shared" si="3"/>
        <v>#DIV/0!</v>
      </c>
      <c r="Q22" s="71" t="e">
        <f t="shared" si="4"/>
        <v>#DIV/0!</v>
      </c>
      <c r="R22" s="93"/>
    </row>
    <row r="23" spans="1:25" ht="99.75" hidden="1" customHeight="1">
      <c r="A23" s="32" t="s">
        <v>63</v>
      </c>
      <c r="B23" s="33" t="s">
        <v>27</v>
      </c>
      <c r="C23" s="35" t="s">
        <v>28</v>
      </c>
      <c r="D23" s="35" t="s">
        <v>7</v>
      </c>
      <c r="E23" s="35" t="s">
        <v>8</v>
      </c>
      <c r="F23" s="35" t="s">
        <v>9</v>
      </c>
      <c r="G23" s="35" t="s">
        <v>22</v>
      </c>
      <c r="H23" s="35">
        <v>2014</v>
      </c>
      <c r="I23" s="35">
        <v>2016</v>
      </c>
      <c r="J23" s="36">
        <v>242440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1" t="e">
        <f t="shared" si="3"/>
        <v>#DIV/0!</v>
      </c>
      <c r="Q23" s="71" t="e">
        <f t="shared" si="4"/>
        <v>#DIV/0!</v>
      </c>
      <c r="R23" s="93"/>
    </row>
    <row r="24" spans="1:25" ht="111.75" hidden="1" customHeight="1">
      <c r="A24" s="32" t="s">
        <v>64</v>
      </c>
      <c r="B24" s="33" t="s">
        <v>31</v>
      </c>
      <c r="C24" s="35" t="s">
        <v>32</v>
      </c>
      <c r="D24" s="35" t="s">
        <v>11</v>
      </c>
      <c r="E24" s="35" t="s">
        <v>8</v>
      </c>
      <c r="F24" s="35" t="s">
        <v>9</v>
      </c>
      <c r="G24" s="35" t="s">
        <v>33</v>
      </c>
      <c r="H24" s="35">
        <v>2014</v>
      </c>
      <c r="I24" s="35">
        <v>2015</v>
      </c>
      <c r="J24" s="36">
        <v>66376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1" t="e">
        <f t="shared" si="3"/>
        <v>#DIV/0!</v>
      </c>
      <c r="Q24" s="71" t="e">
        <f t="shared" si="4"/>
        <v>#DIV/0!</v>
      </c>
      <c r="R24" s="93"/>
    </row>
    <row r="25" spans="1:25" ht="96" customHeight="1">
      <c r="A25" s="32" t="s">
        <v>62</v>
      </c>
      <c r="B25" s="33" t="s">
        <v>16</v>
      </c>
      <c r="C25" s="35" t="s">
        <v>12</v>
      </c>
      <c r="D25" s="35" t="s">
        <v>7</v>
      </c>
      <c r="E25" s="35" t="s">
        <v>8</v>
      </c>
      <c r="F25" s="35" t="s">
        <v>95</v>
      </c>
      <c r="G25" s="35" t="s">
        <v>23</v>
      </c>
      <c r="H25" s="35">
        <v>2013</v>
      </c>
      <c r="I25" s="35">
        <v>2016</v>
      </c>
      <c r="J25" s="36">
        <v>259480.42</v>
      </c>
      <c r="K25" s="72">
        <v>80776.3</v>
      </c>
      <c r="L25" s="72">
        <v>80776.3</v>
      </c>
      <c r="M25" s="72">
        <f>14141.28174+4500.41076+9073.63409+17785.57486+8792.40932+6202.74217+1460.27061+190.67868+123.98452+8598.48443+350.748</f>
        <v>71220.21918</v>
      </c>
      <c r="N25" s="72">
        <f t="shared" ref="N25:O25" si="19">14141.28174+4500.41076+9073.63409+17785.57486+8792.40932+6202.74217+1460.27061+190.67868+123.98452+8598.48443+350.748</f>
        <v>71220.21918</v>
      </c>
      <c r="O25" s="72">
        <f t="shared" si="19"/>
        <v>71220.21918</v>
      </c>
      <c r="P25" s="71">
        <f t="shared" si="3"/>
        <v>88.169697275067065</v>
      </c>
      <c r="Q25" s="71">
        <f t="shared" si="4"/>
        <v>100</v>
      </c>
      <c r="R25" s="93"/>
    </row>
    <row r="26" spans="1:25" ht="114" customHeight="1">
      <c r="A26" s="32" t="s">
        <v>63</v>
      </c>
      <c r="B26" s="40" t="s">
        <v>84</v>
      </c>
      <c r="C26" s="41" t="s">
        <v>6</v>
      </c>
      <c r="D26" s="35" t="s">
        <v>7</v>
      </c>
      <c r="E26" s="35" t="s">
        <v>8</v>
      </c>
      <c r="F26" s="35" t="s">
        <v>95</v>
      </c>
      <c r="G26" s="35" t="s">
        <v>85</v>
      </c>
      <c r="H26" s="35">
        <v>2015</v>
      </c>
      <c r="I26" s="35">
        <v>2017</v>
      </c>
      <c r="J26" s="42">
        <v>98713.1</v>
      </c>
      <c r="K26" s="75">
        <v>5391.3</v>
      </c>
      <c r="L26" s="75">
        <v>5391.3</v>
      </c>
      <c r="M26" s="75">
        <f>2802.17856+1506.43638+691.38506</f>
        <v>4999.9999999999991</v>
      </c>
      <c r="N26" s="75">
        <f t="shared" ref="N26:O26" si="20">2802.17856+1506.43638+691.38506</f>
        <v>4999.9999999999991</v>
      </c>
      <c r="O26" s="94">
        <f t="shared" si="20"/>
        <v>4999.9999999999991</v>
      </c>
      <c r="P26" s="71">
        <f t="shared" si="3"/>
        <v>92.742010275814721</v>
      </c>
      <c r="Q26" s="71">
        <f t="shared" si="4"/>
        <v>100</v>
      </c>
      <c r="R26" s="93"/>
    </row>
    <row r="27" spans="1:25" s="5" customFormat="1" ht="110.25" customHeight="1">
      <c r="A27" s="32" t="s">
        <v>64</v>
      </c>
      <c r="B27" s="33" t="s">
        <v>17</v>
      </c>
      <c r="C27" s="35" t="s">
        <v>15</v>
      </c>
      <c r="D27" s="35" t="s">
        <v>7</v>
      </c>
      <c r="E27" s="35" t="s">
        <v>8</v>
      </c>
      <c r="F27" s="35" t="s">
        <v>95</v>
      </c>
      <c r="G27" s="35" t="s">
        <v>24</v>
      </c>
      <c r="H27" s="35">
        <v>2013</v>
      </c>
      <c r="I27" s="35">
        <v>2016</v>
      </c>
      <c r="J27" s="36">
        <v>171871.52</v>
      </c>
      <c r="K27" s="72">
        <f>39478.6-3748.6+829-5000-1000+8219.4</f>
        <v>38778.400000000001</v>
      </c>
      <c r="L27" s="72">
        <f>39478.6-3748.6+829-5000-1000+8219.4</f>
        <v>38778.400000000001</v>
      </c>
      <c r="M27" s="72">
        <f>11538.00058+2744.25383+10600.00285+7000.01378+3800.41232+2122.30774</f>
        <v>37804.991099999999</v>
      </c>
      <c r="N27" s="72">
        <f t="shared" ref="N27:O27" si="21">11538.00058+2744.25383+10600.00285+7000.01378+3800.41232+2122.30774</f>
        <v>37804.991099999999</v>
      </c>
      <c r="O27" s="72">
        <f t="shared" si="21"/>
        <v>37804.991099999999</v>
      </c>
      <c r="P27" s="71">
        <f t="shared" ref="P27:P28" si="22">O27/L27*100</f>
        <v>97.489816753656669</v>
      </c>
      <c r="Q27" s="71">
        <f t="shared" ref="Q27:Q30" si="23">O27/M27*100</f>
        <v>100</v>
      </c>
      <c r="R27" s="93"/>
    </row>
    <row r="28" spans="1:25" s="10" customFormat="1" ht="110.25" customHeight="1">
      <c r="A28" s="32" t="s">
        <v>79</v>
      </c>
      <c r="B28" s="33" t="s">
        <v>117</v>
      </c>
      <c r="C28" s="35" t="s">
        <v>6</v>
      </c>
      <c r="D28" s="35" t="s">
        <v>7</v>
      </c>
      <c r="E28" s="35" t="s">
        <v>8</v>
      </c>
      <c r="F28" s="35" t="s">
        <v>95</v>
      </c>
      <c r="G28" s="35" t="s">
        <v>26</v>
      </c>
      <c r="H28" s="35">
        <v>2014</v>
      </c>
      <c r="I28" s="35">
        <v>2016</v>
      </c>
      <c r="J28" s="36">
        <v>123314.10958</v>
      </c>
      <c r="K28" s="72">
        <v>21719.8</v>
      </c>
      <c r="L28" s="72">
        <v>21719.8</v>
      </c>
      <c r="M28" s="72">
        <v>14782.457630000001</v>
      </c>
      <c r="N28" s="72">
        <v>14782.457630000001</v>
      </c>
      <c r="O28" s="72">
        <v>14782.457630000001</v>
      </c>
      <c r="P28" s="71">
        <f t="shared" si="22"/>
        <v>68.059823893406019</v>
      </c>
      <c r="Q28" s="71">
        <f t="shared" si="23"/>
        <v>100</v>
      </c>
      <c r="R28" s="93"/>
    </row>
    <row r="29" spans="1:25" s="10" customFormat="1" ht="110.25" customHeight="1">
      <c r="A29" s="37" t="s">
        <v>80</v>
      </c>
      <c r="B29" s="38" t="s">
        <v>118</v>
      </c>
      <c r="C29" s="34" t="s">
        <v>6</v>
      </c>
      <c r="D29" s="34" t="s">
        <v>7</v>
      </c>
      <c r="E29" s="34" t="s">
        <v>8</v>
      </c>
      <c r="F29" s="34" t="s">
        <v>95</v>
      </c>
      <c r="G29" s="34" t="s">
        <v>119</v>
      </c>
      <c r="H29" s="34">
        <v>2016</v>
      </c>
      <c r="I29" s="34">
        <v>2018</v>
      </c>
      <c r="J29" s="39">
        <v>140836.6</v>
      </c>
      <c r="K29" s="72">
        <v>15000</v>
      </c>
      <c r="L29" s="72">
        <v>15000</v>
      </c>
      <c r="M29" s="72"/>
      <c r="N29" s="72"/>
      <c r="O29" s="72"/>
      <c r="P29" s="71"/>
      <c r="Q29" s="71"/>
      <c r="R29" s="93"/>
    </row>
    <row r="30" spans="1:25" s="10" customFormat="1" ht="40.5" customHeight="1">
      <c r="A30" s="106" t="s">
        <v>120</v>
      </c>
      <c r="B30" s="107"/>
      <c r="C30" s="107"/>
      <c r="D30" s="107"/>
      <c r="E30" s="107"/>
      <c r="F30" s="113"/>
      <c r="G30" s="113"/>
      <c r="H30" s="30"/>
      <c r="I30" s="30"/>
      <c r="J30" s="31">
        <f t="shared" ref="J30" si="24">SUM(J31:J33)</f>
        <v>1280073.909</v>
      </c>
      <c r="K30" s="70">
        <f>SUM(K31:K34)</f>
        <v>16941.099999999999</v>
      </c>
      <c r="L30" s="70">
        <f>SUM(L31:L34)</f>
        <v>16941.099999999999</v>
      </c>
      <c r="M30" s="70">
        <f t="shared" ref="M30:O30" si="25">SUM(M31:M34)</f>
        <v>16834.828939999999</v>
      </c>
      <c r="N30" s="70">
        <f t="shared" si="25"/>
        <v>16834.828939999999</v>
      </c>
      <c r="O30" s="70">
        <f t="shared" si="25"/>
        <v>16834.828939999999</v>
      </c>
      <c r="P30" s="71">
        <f t="shared" ref="P30:P32" si="26">O30/L30*100</f>
        <v>99.372702717060875</v>
      </c>
      <c r="Q30" s="71">
        <f t="shared" si="23"/>
        <v>100</v>
      </c>
      <c r="R30" s="93"/>
    </row>
    <row r="31" spans="1:25" s="10" customFormat="1" ht="110.25" customHeight="1">
      <c r="A31" s="32" t="s">
        <v>60</v>
      </c>
      <c r="B31" s="33" t="s">
        <v>121</v>
      </c>
      <c r="C31" s="35" t="s">
        <v>122</v>
      </c>
      <c r="D31" s="35" t="s">
        <v>7</v>
      </c>
      <c r="E31" s="35" t="s">
        <v>8</v>
      </c>
      <c r="F31" s="35" t="s">
        <v>95</v>
      </c>
      <c r="G31" s="35" t="s">
        <v>123</v>
      </c>
      <c r="H31" s="35">
        <v>2012</v>
      </c>
      <c r="I31" s="35">
        <v>2016</v>
      </c>
      <c r="J31" s="36">
        <v>741168.64000000001</v>
      </c>
      <c r="K31" s="72">
        <v>8000</v>
      </c>
      <c r="L31" s="72">
        <v>8000</v>
      </c>
      <c r="M31" s="72">
        <v>8000</v>
      </c>
      <c r="N31" s="72">
        <v>8000</v>
      </c>
      <c r="O31" s="72">
        <v>8000</v>
      </c>
      <c r="P31" s="71">
        <f t="shared" si="26"/>
        <v>100</v>
      </c>
      <c r="Q31" s="71">
        <f t="shared" si="4"/>
        <v>100</v>
      </c>
      <c r="R31" s="93"/>
    </row>
    <row r="32" spans="1:25" s="10" customFormat="1" ht="110.25" customHeight="1">
      <c r="A32" s="32" t="s">
        <v>124</v>
      </c>
      <c r="B32" s="40" t="s">
        <v>125</v>
      </c>
      <c r="C32" s="41" t="s">
        <v>126</v>
      </c>
      <c r="D32" s="35" t="s">
        <v>7</v>
      </c>
      <c r="E32" s="35" t="s">
        <v>30</v>
      </c>
      <c r="F32" s="35" t="s">
        <v>95</v>
      </c>
      <c r="G32" s="35" t="s">
        <v>83</v>
      </c>
      <c r="H32" s="35">
        <v>2011</v>
      </c>
      <c r="I32" s="35">
        <v>2015</v>
      </c>
      <c r="J32" s="36">
        <v>198355.46900000001</v>
      </c>
      <c r="K32" s="72">
        <v>341.1</v>
      </c>
      <c r="L32" s="72">
        <v>341.1</v>
      </c>
      <c r="M32" s="72">
        <v>334.82893999999999</v>
      </c>
      <c r="N32" s="72">
        <v>334.82893999999999</v>
      </c>
      <c r="O32" s="72">
        <v>334.82893999999999</v>
      </c>
      <c r="P32" s="71">
        <f t="shared" si="26"/>
        <v>98.161518616241565</v>
      </c>
      <c r="Q32" s="71">
        <f t="shared" si="4"/>
        <v>100</v>
      </c>
      <c r="R32" s="93"/>
    </row>
    <row r="33" spans="1:25" s="10" customFormat="1" ht="110.25" customHeight="1">
      <c r="A33" s="32" t="s">
        <v>177</v>
      </c>
      <c r="B33" s="40" t="s">
        <v>176</v>
      </c>
      <c r="C33" s="41" t="s">
        <v>178</v>
      </c>
      <c r="D33" s="35" t="s">
        <v>7</v>
      </c>
      <c r="E33" s="35" t="s">
        <v>8</v>
      </c>
      <c r="F33" s="35" t="s">
        <v>95</v>
      </c>
      <c r="G33" s="35" t="s">
        <v>179</v>
      </c>
      <c r="H33" s="35">
        <v>2016</v>
      </c>
      <c r="I33" s="35">
        <v>2018</v>
      </c>
      <c r="J33" s="36">
        <v>340549.8</v>
      </c>
      <c r="K33" s="72">
        <v>100</v>
      </c>
      <c r="L33" s="72">
        <v>100</v>
      </c>
      <c r="M33" s="72"/>
      <c r="N33" s="72"/>
      <c r="O33" s="72"/>
      <c r="P33" s="71"/>
      <c r="Q33" s="71"/>
      <c r="R33" s="93"/>
    </row>
    <row r="34" spans="1:25" s="10" customFormat="1" ht="110.25" customHeight="1">
      <c r="A34" s="32" t="s">
        <v>191</v>
      </c>
      <c r="B34" s="40" t="s">
        <v>192</v>
      </c>
      <c r="C34" s="41"/>
      <c r="D34" s="35"/>
      <c r="E34" s="35"/>
      <c r="F34" s="35" t="s">
        <v>193</v>
      </c>
      <c r="G34" s="35" t="s">
        <v>194</v>
      </c>
      <c r="H34" s="92"/>
      <c r="I34" s="92"/>
      <c r="J34" s="36"/>
      <c r="K34" s="72">
        <v>8500</v>
      </c>
      <c r="L34" s="72">
        <v>8500</v>
      </c>
      <c r="M34" s="72">
        <v>8500</v>
      </c>
      <c r="N34" s="72">
        <v>8500</v>
      </c>
      <c r="O34" s="72">
        <v>8500</v>
      </c>
      <c r="P34" s="71">
        <f t="shared" ref="P34" si="27">O34/L34*100</f>
        <v>100</v>
      </c>
      <c r="Q34" s="71">
        <f t="shared" ref="Q34" si="28">O34/M34*100</f>
        <v>100</v>
      </c>
      <c r="R34" s="93"/>
    </row>
    <row r="35" spans="1:25" s="5" customFormat="1" ht="39" customHeight="1">
      <c r="A35" s="119" t="s">
        <v>152</v>
      </c>
      <c r="B35" s="120"/>
      <c r="C35" s="120"/>
      <c r="D35" s="120"/>
      <c r="E35" s="120"/>
      <c r="F35" s="120"/>
      <c r="G35" s="120"/>
      <c r="H35" s="43"/>
      <c r="I35" s="43"/>
      <c r="J35" s="44">
        <f t="shared" ref="J35:K35" si="29">J36+J37+J38</f>
        <v>886403.75</v>
      </c>
      <c r="K35" s="76">
        <f t="shared" si="29"/>
        <v>91204.6</v>
      </c>
      <c r="L35" s="76">
        <f t="shared" ref="L35" si="30">L36+L37+L38</f>
        <v>91204.6</v>
      </c>
      <c r="M35" s="76">
        <f t="shared" ref="M35:O35" si="31">M36+M37+M38</f>
        <v>82815.451520000002</v>
      </c>
      <c r="N35" s="76">
        <f t="shared" si="31"/>
        <v>82815.451520000002</v>
      </c>
      <c r="O35" s="76">
        <f t="shared" si="31"/>
        <v>82815.451520000002</v>
      </c>
      <c r="P35" s="69">
        <f t="shared" si="3"/>
        <v>90.801836223172955</v>
      </c>
      <c r="Q35" s="69">
        <f t="shared" si="4"/>
        <v>100</v>
      </c>
      <c r="R35" s="93"/>
    </row>
    <row r="36" spans="1:25" s="10" customFormat="1" ht="99" customHeight="1">
      <c r="A36" s="45">
        <v>1</v>
      </c>
      <c r="B36" s="33" t="s">
        <v>67</v>
      </c>
      <c r="C36" s="35" t="s">
        <v>68</v>
      </c>
      <c r="D36" s="35" t="s">
        <v>7</v>
      </c>
      <c r="E36" s="35" t="s">
        <v>30</v>
      </c>
      <c r="F36" s="35" t="s">
        <v>95</v>
      </c>
      <c r="G36" s="35" t="s">
        <v>83</v>
      </c>
      <c r="H36" s="35">
        <v>2015</v>
      </c>
      <c r="I36" s="35">
        <v>2017</v>
      </c>
      <c r="J36" s="39">
        <v>574417.36</v>
      </c>
      <c r="K36" s="72">
        <v>84700</v>
      </c>
      <c r="L36" s="72">
        <v>84700</v>
      </c>
      <c r="M36" s="72">
        <f>63210.05688+53.03433+423.84178+6836.09279+10570.671</f>
        <v>81093.696779999998</v>
      </c>
      <c r="N36" s="72">
        <f t="shared" ref="N36:O36" si="32">63210.05688+53.03433+423.84178+6836.09279+10570.671</f>
        <v>81093.696779999998</v>
      </c>
      <c r="O36" s="72">
        <f t="shared" si="32"/>
        <v>81093.696779999998</v>
      </c>
      <c r="P36" s="71">
        <f t="shared" si="3"/>
        <v>95.742263022432113</v>
      </c>
      <c r="Q36" s="71">
        <f t="shared" si="4"/>
        <v>100</v>
      </c>
      <c r="R36" s="93"/>
    </row>
    <row r="37" spans="1:25" s="10" customFormat="1" ht="101.25" customHeight="1">
      <c r="A37" s="45">
        <v>2</v>
      </c>
      <c r="B37" s="33" t="s">
        <v>70</v>
      </c>
      <c r="C37" s="35" t="s">
        <v>71</v>
      </c>
      <c r="D37" s="35" t="s">
        <v>7</v>
      </c>
      <c r="E37" s="35" t="s">
        <v>30</v>
      </c>
      <c r="F37" s="35" t="s">
        <v>95</v>
      </c>
      <c r="G37" s="35" t="s">
        <v>106</v>
      </c>
      <c r="H37" s="35">
        <v>2015</v>
      </c>
      <c r="I37" s="35">
        <v>2016</v>
      </c>
      <c r="J37" s="36">
        <v>205000</v>
      </c>
      <c r="K37" s="72">
        <f>10000-3495.4</f>
        <v>6504.6</v>
      </c>
      <c r="L37" s="72">
        <f>10000-3495.4</f>
        <v>6504.6</v>
      </c>
      <c r="M37" s="72">
        <f>1501.41669+199.4613+20.87675</f>
        <v>1721.7547399999999</v>
      </c>
      <c r="N37" s="72">
        <f t="shared" ref="N37:O37" si="33">1501.41669+199.4613+20.87675</f>
        <v>1721.7547399999999</v>
      </c>
      <c r="O37" s="72">
        <f t="shared" si="33"/>
        <v>1721.7547399999999</v>
      </c>
      <c r="P37" s="71">
        <f t="shared" si="3"/>
        <v>26.469801986286623</v>
      </c>
      <c r="Q37" s="71">
        <f t="shared" si="4"/>
        <v>100</v>
      </c>
      <c r="R37" s="93"/>
    </row>
    <row r="38" spans="1:25" s="10" customFormat="1" ht="120" hidden="1" customHeight="1">
      <c r="A38" s="45">
        <v>3</v>
      </c>
      <c r="B38" s="33" t="s">
        <v>127</v>
      </c>
      <c r="C38" s="35" t="s">
        <v>128</v>
      </c>
      <c r="D38" s="35" t="s">
        <v>7</v>
      </c>
      <c r="E38" s="35" t="s">
        <v>8</v>
      </c>
      <c r="F38" s="35" t="s">
        <v>95</v>
      </c>
      <c r="G38" s="35" t="s">
        <v>24</v>
      </c>
      <c r="H38" s="35">
        <v>2016</v>
      </c>
      <c r="I38" s="35">
        <v>2016</v>
      </c>
      <c r="J38" s="36">
        <v>106986.39</v>
      </c>
      <c r="K38" s="72"/>
      <c r="L38" s="72"/>
      <c r="M38" s="72"/>
      <c r="N38" s="72"/>
      <c r="O38" s="72"/>
      <c r="P38" s="71" t="e">
        <f t="shared" ref="P38" si="34">O38/L38*100</f>
        <v>#DIV/0!</v>
      </c>
      <c r="Q38" s="71">
        <v>0</v>
      </c>
      <c r="R38" s="93"/>
    </row>
    <row r="39" spans="1:25" s="10" customFormat="1" ht="56.25" hidden="1" customHeight="1">
      <c r="A39" s="108" t="s">
        <v>94</v>
      </c>
      <c r="B39" s="109"/>
      <c r="C39" s="109"/>
      <c r="D39" s="109"/>
      <c r="E39" s="109"/>
      <c r="F39" s="109"/>
      <c r="G39" s="109"/>
      <c r="H39" s="28"/>
      <c r="I39" s="28"/>
      <c r="J39" s="46">
        <f>J40</f>
        <v>2810533.82</v>
      </c>
      <c r="K39" s="77">
        <f>K40</f>
        <v>0</v>
      </c>
      <c r="L39" s="77">
        <f>L40</f>
        <v>0</v>
      </c>
      <c r="M39" s="77">
        <f t="shared" ref="M39:O39" si="35">M40</f>
        <v>0</v>
      </c>
      <c r="N39" s="77">
        <f t="shared" si="35"/>
        <v>0</v>
      </c>
      <c r="O39" s="77">
        <f t="shared" si="35"/>
        <v>0</v>
      </c>
      <c r="P39" s="69" t="e">
        <f t="shared" si="3"/>
        <v>#DIV/0!</v>
      </c>
      <c r="Q39" s="69">
        <v>0</v>
      </c>
      <c r="R39" s="93"/>
    </row>
    <row r="40" spans="1:25" s="10" customFormat="1" ht="154.5" hidden="1" customHeight="1">
      <c r="A40" s="45">
        <v>1</v>
      </c>
      <c r="B40" s="33" t="s">
        <v>47</v>
      </c>
      <c r="C40" s="35" t="s">
        <v>18</v>
      </c>
      <c r="D40" s="35" t="s">
        <v>7</v>
      </c>
      <c r="E40" s="35" t="s">
        <v>13</v>
      </c>
      <c r="F40" s="35" t="s">
        <v>95</v>
      </c>
      <c r="G40" s="35" t="s">
        <v>98</v>
      </c>
      <c r="H40" s="35">
        <v>2014</v>
      </c>
      <c r="I40" s="35">
        <v>2016</v>
      </c>
      <c r="J40" s="39">
        <v>2810533.82</v>
      </c>
      <c r="K40" s="72"/>
      <c r="L40" s="72"/>
      <c r="M40" s="72"/>
      <c r="N40" s="72"/>
      <c r="O40" s="72"/>
      <c r="P40" s="71" t="e">
        <f t="shared" si="3"/>
        <v>#DIV/0!</v>
      </c>
      <c r="Q40" s="71">
        <v>0</v>
      </c>
      <c r="R40" s="93"/>
    </row>
    <row r="41" spans="1:25" ht="43.9" customHeight="1">
      <c r="A41" s="108" t="s">
        <v>99</v>
      </c>
      <c r="B41" s="109"/>
      <c r="C41" s="109"/>
      <c r="D41" s="109"/>
      <c r="E41" s="109"/>
      <c r="F41" s="109"/>
      <c r="G41" s="109"/>
      <c r="H41" s="109"/>
      <c r="I41" s="110"/>
      <c r="J41" s="47">
        <f>J42+J43</f>
        <v>2868357.86</v>
      </c>
      <c r="K41" s="78">
        <f>K42+K43</f>
        <v>1000855</v>
      </c>
      <c r="L41" s="78">
        <f>L42+L43</f>
        <v>1000855</v>
      </c>
      <c r="M41" s="78">
        <f t="shared" ref="M41:O41" si="36">M42+M43</f>
        <v>553448.98224000004</v>
      </c>
      <c r="N41" s="78">
        <f t="shared" si="36"/>
        <v>553448.98224000004</v>
      </c>
      <c r="O41" s="78">
        <f t="shared" si="36"/>
        <v>537035.50604000001</v>
      </c>
      <c r="P41" s="69">
        <f t="shared" si="3"/>
        <v>53.657673293334199</v>
      </c>
      <c r="Q41" s="69">
        <f t="shared" si="4"/>
        <v>97.034328957735354</v>
      </c>
      <c r="R41" s="93"/>
    </row>
    <row r="42" spans="1:25" s="9" customFormat="1" ht="129.75" customHeight="1">
      <c r="A42" s="48" t="s">
        <v>42</v>
      </c>
      <c r="B42" s="49" t="s">
        <v>107</v>
      </c>
      <c r="C42" s="50" t="s">
        <v>43</v>
      </c>
      <c r="D42" s="50" t="s">
        <v>7</v>
      </c>
      <c r="E42" s="35" t="s">
        <v>30</v>
      </c>
      <c r="F42" s="35" t="s">
        <v>95</v>
      </c>
      <c r="G42" s="35" t="s">
        <v>106</v>
      </c>
      <c r="H42" s="35">
        <v>2016</v>
      </c>
      <c r="I42" s="35">
        <v>2016</v>
      </c>
      <c r="J42" s="36">
        <v>1034179.2</v>
      </c>
      <c r="K42" s="72">
        <v>235372.4</v>
      </c>
      <c r="L42" s="72">
        <v>235372.4</v>
      </c>
      <c r="M42" s="72">
        <v>235372.4</v>
      </c>
      <c r="N42" s="72">
        <v>235372.4</v>
      </c>
      <c r="O42" s="72">
        <v>235372.4</v>
      </c>
      <c r="P42" s="71">
        <f t="shared" si="3"/>
        <v>100</v>
      </c>
      <c r="Q42" s="71">
        <f t="shared" si="4"/>
        <v>100</v>
      </c>
      <c r="R42" s="93"/>
      <c r="S42" s="10"/>
      <c r="T42" s="10"/>
      <c r="U42" s="10"/>
      <c r="V42" s="10"/>
      <c r="W42" s="10"/>
      <c r="X42" s="10"/>
      <c r="Y42" s="10"/>
    </row>
    <row r="43" spans="1:25" s="9" customFormat="1" ht="166.5" customHeight="1">
      <c r="A43" s="48" t="s">
        <v>34</v>
      </c>
      <c r="B43" s="49" t="s">
        <v>49</v>
      </c>
      <c r="C43" s="51" t="s">
        <v>65</v>
      </c>
      <c r="D43" s="50" t="s">
        <v>11</v>
      </c>
      <c r="E43" s="35" t="s">
        <v>8</v>
      </c>
      <c r="F43" s="35" t="s">
        <v>48</v>
      </c>
      <c r="G43" s="35" t="s">
        <v>50</v>
      </c>
      <c r="H43" s="35">
        <v>2015</v>
      </c>
      <c r="I43" s="35">
        <v>2017</v>
      </c>
      <c r="J43" s="36">
        <v>1834178.66</v>
      </c>
      <c r="K43" s="72">
        <f>498509.1+266973.5</f>
        <v>765482.6</v>
      </c>
      <c r="L43" s="72">
        <f>498509.1+266973.5</f>
        <v>765482.6</v>
      </c>
      <c r="M43" s="72">
        <v>318076.58224000002</v>
      </c>
      <c r="N43" s="72">
        <v>318076.58224000002</v>
      </c>
      <c r="O43" s="72">
        <v>301663.10603999998</v>
      </c>
      <c r="P43" s="71">
        <f t="shared" si="3"/>
        <v>39.408225090942629</v>
      </c>
      <c r="Q43" s="71">
        <f t="shared" si="4"/>
        <v>94.839772206928615</v>
      </c>
      <c r="R43" s="93"/>
      <c r="S43" s="10"/>
      <c r="T43" s="10"/>
      <c r="U43" s="10"/>
      <c r="V43" s="10"/>
      <c r="W43" s="10"/>
      <c r="X43" s="10"/>
      <c r="Y43" s="10"/>
    </row>
    <row r="44" spans="1:25" s="5" customFormat="1" ht="48.6" customHeight="1">
      <c r="A44" s="108" t="s">
        <v>100</v>
      </c>
      <c r="B44" s="109"/>
      <c r="C44" s="109"/>
      <c r="D44" s="109"/>
      <c r="E44" s="109"/>
      <c r="F44" s="109"/>
      <c r="G44" s="109"/>
      <c r="H44" s="28"/>
      <c r="I44" s="28"/>
      <c r="J44" s="52">
        <f>J47+J46+J45+J48+J49+J50</f>
        <v>1838715.7</v>
      </c>
      <c r="K44" s="79">
        <f>K47+K46+K45+K48+K49+K50</f>
        <v>61296</v>
      </c>
      <c r="L44" s="79">
        <f>L47+L46+L45+L48+L49+L50</f>
        <v>61296</v>
      </c>
      <c r="M44" s="79">
        <f t="shared" ref="M44:O44" si="37">M47+M46+M45+M48+M49+M50</f>
        <v>15165.22632</v>
      </c>
      <c r="N44" s="79">
        <f t="shared" si="37"/>
        <v>15165.22632</v>
      </c>
      <c r="O44" s="79">
        <f t="shared" si="37"/>
        <v>15165.22632</v>
      </c>
      <c r="P44" s="69">
        <f t="shared" si="3"/>
        <v>24.740972200469852</v>
      </c>
      <c r="Q44" s="69">
        <f t="shared" si="4"/>
        <v>100</v>
      </c>
      <c r="R44" s="93"/>
    </row>
    <row r="45" spans="1:25" s="10" customFormat="1" ht="105" customHeight="1">
      <c r="A45" s="35">
        <v>1</v>
      </c>
      <c r="B45" s="53" t="s">
        <v>36</v>
      </c>
      <c r="C45" s="35" t="s">
        <v>38</v>
      </c>
      <c r="D45" s="35" t="s">
        <v>7</v>
      </c>
      <c r="E45" s="35" t="s">
        <v>8</v>
      </c>
      <c r="F45" s="35" t="s">
        <v>39</v>
      </c>
      <c r="G45" s="35" t="s">
        <v>85</v>
      </c>
      <c r="H45" s="35">
        <v>2015</v>
      </c>
      <c r="I45" s="35">
        <v>2017</v>
      </c>
      <c r="J45" s="36">
        <v>291567.3</v>
      </c>
      <c r="K45" s="72">
        <v>40794</v>
      </c>
      <c r="L45" s="72">
        <v>40794</v>
      </c>
      <c r="M45" s="72">
        <f>1790.40338+4598.10759+5492.00861</f>
        <v>11880.51958</v>
      </c>
      <c r="N45" s="72">
        <f t="shared" ref="N45:O45" si="38">1790.40338+4598.10759+5492.00861</f>
        <v>11880.51958</v>
      </c>
      <c r="O45" s="72">
        <f t="shared" si="38"/>
        <v>11880.51958</v>
      </c>
      <c r="P45" s="71">
        <f t="shared" si="3"/>
        <v>29.123203363239693</v>
      </c>
      <c r="Q45" s="71">
        <f t="shared" si="4"/>
        <v>100</v>
      </c>
      <c r="R45" s="93"/>
    </row>
    <row r="46" spans="1:25" s="10" customFormat="1" ht="116.25" customHeight="1">
      <c r="A46" s="35">
        <v>2</v>
      </c>
      <c r="B46" s="53" t="s">
        <v>35</v>
      </c>
      <c r="C46" s="35" t="s">
        <v>37</v>
      </c>
      <c r="D46" s="35" t="s">
        <v>7</v>
      </c>
      <c r="E46" s="35" t="s">
        <v>8</v>
      </c>
      <c r="F46" s="35" t="s">
        <v>39</v>
      </c>
      <c r="G46" s="35" t="s">
        <v>85</v>
      </c>
      <c r="H46" s="35">
        <v>2015</v>
      </c>
      <c r="I46" s="35">
        <v>2017</v>
      </c>
      <c r="J46" s="36">
        <v>565170.4</v>
      </c>
      <c r="K46" s="72">
        <v>7250</v>
      </c>
      <c r="L46" s="72">
        <v>7250</v>
      </c>
      <c r="M46" s="72">
        <f>2759.58462</f>
        <v>2759.5846200000001</v>
      </c>
      <c r="N46" s="72">
        <f t="shared" ref="N46:O46" si="39">2759.58462</f>
        <v>2759.5846200000001</v>
      </c>
      <c r="O46" s="72">
        <f t="shared" si="39"/>
        <v>2759.5846200000001</v>
      </c>
      <c r="P46" s="71">
        <f t="shared" si="3"/>
        <v>38.063236137931035</v>
      </c>
      <c r="Q46" s="71">
        <f t="shared" si="4"/>
        <v>100</v>
      </c>
      <c r="R46" s="93"/>
    </row>
    <row r="47" spans="1:25" s="5" customFormat="1" ht="133.5" customHeight="1">
      <c r="A47" s="35">
        <v>3</v>
      </c>
      <c r="B47" s="53" t="s">
        <v>195</v>
      </c>
      <c r="C47" s="35" t="s">
        <v>1</v>
      </c>
      <c r="D47" s="35" t="s">
        <v>7</v>
      </c>
      <c r="E47" s="35" t="s">
        <v>30</v>
      </c>
      <c r="F47" s="35" t="s">
        <v>39</v>
      </c>
      <c r="G47" s="35" t="s">
        <v>105</v>
      </c>
      <c r="H47" s="35">
        <v>2015</v>
      </c>
      <c r="I47" s="35">
        <v>2016</v>
      </c>
      <c r="J47" s="36">
        <v>68929</v>
      </c>
      <c r="K47" s="72">
        <v>5552</v>
      </c>
      <c r="L47" s="72">
        <v>5552</v>
      </c>
      <c r="M47" s="72">
        <f>47.59766+184.18+293.34446</f>
        <v>525.12212</v>
      </c>
      <c r="N47" s="72">
        <f t="shared" ref="N47:O47" si="40">47.59766+184.18+293.34446</f>
        <v>525.12212</v>
      </c>
      <c r="O47" s="72">
        <f t="shared" si="40"/>
        <v>525.12212</v>
      </c>
      <c r="P47" s="71">
        <f t="shared" si="3"/>
        <v>9.4582514409221901</v>
      </c>
      <c r="Q47" s="71">
        <f t="shared" si="4"/>
        <v>100</v>
      </c>
      <c r="R47" s="93"/>
    </row>
    <row r="48" spans="1:25" s="10" customFormat="1" ht="128.25" customHeight="1">
      <c r="A48" s="35">
        <v>4</v>
      </c>
      <c r="B48" s="54" t="s">
        <v>160</v>
      </c>
      <c r="C48" s="35" t="s">
        <v>161</v>
      </c>
      <c r="D48" s="35" t="s">
        <v>7</v>
      </c>
      <c r="E48" s="35" t="s">
        <v>30</v>
      </c>
      <c r="F48" s="35" t="s">
        <v>39</v>
      </c>
      <c r="G48" s="35" t="s">
        <v>162</v>
      </c>
      <c r="H48" s="35">
        <v>2017</v>
      </c>
      <c r="I48" s="35">
        <v>2019</v>
      </c>
      <c r="J48" s="36">
        <v>482999</v>
      </c>
      <c r="K48" s="72">
        <v>6700</v>
      </c>
      <c r="L48" s="72">
        <v>6700</v>
      </c>
      <c r="M48" s="72"/>
      <c r="N48" s="72"/>
      <c r="O48" s="72"/>
      <c r="P48" s="71"/>
      <c r="Q48" s="71"/>
      <c r="R48" s="93"/>
    </row>
    <row r="49" spans="1:25" s="10" customFormat="1" ht="110.45" customHeight="1">
      <c r="A49" s="55">
        <v>5</v>
      </c>
      <c r="B49" s="56" t="s">
        <v>163</v>
      </c>
      <c r="C49" s="57" t="s">
        <v>164</v>
      </c>
      <c r="D49" s="57" t="s">
        <v>14</v>
      </c>
      <c r="E49" s="35" t="s">
        <v>30</v>
      </c>
      <c r="F49" s="35" t="s">
        <v>39</v>
      </c>
      <c r="G49" s="35" t="s">
        <v>162</v>
      </c>
      <c r="H49" s="57">
        <v>2015</v>
      </c>
      <c r="I49" s="57">
        <v>2019</v>
      </c>
      <c r="J49" s="58">
        <v>430050</v>
      </c>
      <c r="K49" s="72">
        <v>1000</v>
      </c>
      <c r="L49" s="72">
        <v>1000</v>
      </c>
      <c r="M49" s="72"/>
      <c r="N49" s="72"/>
      <c r="O49" s="72"/>
      <c r="P49" s="71"/>
      <c r="Q49" s="71"/>
      <c r="R49" s="93"/>
    </row>
    <row r="50" spans="1:25" s="10" customFormat="1" ht="106.9" hidden="1" customHeight="1">
      <c r="A50" s="55">
        <v>6</v>
      </c>
      <c r="B50" s="53" t="s">
        <v>165</v>
      </c>
      <c r="C50" s="57" t="s">
        <v>166</v>
      </c>
      <c r="D50" s="57" t="s">
        <v>14</v>
      </c>
      <c r="E50" s="35" t="s">
        <v>30</v>
      </c>
      <c r="F50" s="35" t="s">
        <v>39</v>
      </c>
      <c r="G50" s="35" t="s">
        <v>162</v>
      </c>
      <c r="H50" s="57">
        <v>2017</v>
      </c>
      <c r="I50" s="57">
        <v>2019</v>
      </c>
      <c r="J50" s="36">
        <v>0</v>
      </c>
      <c r="K50" s="72"/>
      <c r="L50" s="72"/>
      <c r="M50" s="72"/>
      <c r="N50" s="72"/>
      <c r="O50" s="72"/>
      <c r="P50" s="71" t="e">
        <f t="shared" ref="P50" si="41">O50/L50*100</f>
        <v>#DIV/0!</v>
      </c>
      <c r="Q50" s="71">
        <v>0</v>
      </c>
      <c r="R50" s="93"/>
    </row>
    <row r="51" spans="1:25" ht="47.45" customHeight="1">
      <c r="A51" s="108" t="s">
        <v>101</v>
      </c>
      <c r="B51" s="109"/>
      <c r="C51" s="109"/>
      <c r="D51" s="109"/>
      <c r="E51" s="109"/>
      <c r="F51" s="109"/>
      <c r="G51" s="109"/>
      <c r="H51" s="28"/>
      <c r="I51" s="28"/>
      <c r="J51" s="52">
        <f>SUM(J52:J60)</f>
        <v>1650689.9</v>
      </c>
      <c r="K51" s="79">
        <f>SUM(K52:K62)</f>
        <v>235159.7</v>
      </c>
      <c r="L51" s="79">
        <f t="shared" ref="L51:O51" si="42">SUM(L52:L62)</f>
        <v>235159.7</v>
      </c>
      <c r="M51" s="79">
        <f t="shared" si="42"/>
        <v>103768.86599999999</v>
      </c>
      <c r="N51" s="79">
        <f t="shared" si="42"/>
        <v>103768.86599999999</v>
      </c>
      <c r="O51" s="79">
        <f t="shared" si="42"/>
        <v>103768.84599999999</v>
      </c>
      <c r="P51" s="69">
        <f t="shared" si="3"/>
        <v>44.126968183749163</v>
      </c>
      <c r="Q51" s="69">
        <f t="shared" si="4"/>
        <v>99.999980726396302</v>
      </c>
      <c r="R51" s="93"/>
    </row>
    <row r="52" spans="1:25" ht="78" customHeight="1">
      <c r="A52" s="45">
        <v>1</v>
      </c>
      <c r="B52" s="38" t="s">
        <v>51</v>
      </c>
      <c r="C52" s="35" t="s">
        <v>40</v>
      </c>
      <c r="D52" s="35" t="s">
        <v>7</v>
      </c>
      <c r="E52" s="35" t="s">
        <v>30</v>
      </c>
      <c r="F52" s="35" t="s">
        <v>96</v>
      </c>
      <c r="G52" s="35" t="s">
        <v>102</v>
      </c>
      <c r="H52" s="35">
        <v>2015</v>
      </c>
      <c r="I52" s="35">
        <v>2017</v>
      </c>
      <c r="J52" s="36">
        <v>189201.7</v>
      </c>
      <c r="K52" s="72">
        <v>145134.1</v>
      </c>
      <c r="L52" s="72">
        <v>145134.1</v>
      </c>
      <c r="M52" s="72">
        <f>42176.93</f>
        <v>42176.93</v>
      </c>
      <c r="N52" s="72">
        <f t="shared" ref="N52:O52" si="43">42176.93</f>
        <v>42176.93</v>
      </c>
      <c r="O52" s="72">
        <f t="shared" si="43"/>
        <v>42176.93</v>
      </c>
      <c r="P52" s="71">
        <f t="shared" si="3"/>
        <v>29.060661829301317</v>
      </c>
      <c r="Q52" s="71">
        <f t="shared" si="4"/>
        <v>100</v>
      </c>
      <c r="R52" s="93"/>
    </row>
    <row r="53" spans="1:25" ht="78" customHeight="1">
      <c r="A53" s="45">
        <v>2</v>
      </c>
      <c r="B53" s="33" t="s">
        <v>142</v>
      </c>
      <c r="C53" s="35" t="s">
        <v>1</v>
      </c>
      <c r="D53" s="35" t="s">
        <v>14</v>
      </c>
      <c r="E53" s="35" t="s">
        <v>30</v>
      </c>
      <c r="F53" s="35" t="s">
        <v>96</v>
      </c>
      <c r="G53" s="35" t="s">
        <v>102</v>
      </c>
      <c r="H53" s="35">
        <v>2016</v>
      </c>
      <c r="I53" s="35">
        <v>2016</v>
      </c>
      <c r="J53" s="36">
        <v>14410</v>
      </c>
      <c r="K53" s="72">
        <f>5295.7+7214.3</f>
        <v>12510</v>
      </c>
      <c r="L53" s="72">
        <f>5295.7+7214.3</f>
        <v>12510</v>
      </c>
      <c r="M53" s="72">
        <f>3131.2</f>
        <v>3131.2</v>
      </c>
      <c r="N53" s="72">
        <f t="shared" ref="N53:O53" si="44">3131.2</f>
        <v>3131.2</v>
      </c>
      <c r="O53" s="72">
        <f t="shared" si="44"/>
        <v>3131.2</v>
      </c>
      <c r="P53" s="71">
        <f t="shared" si="3"/>
        <v>25.029576338928855</v>
      </c>
      <c r="Q53" s="71">
        <f t="shared" si="4"/>
        <v>100</v>
      </c>
      <c r="R53" s="93"/>
    </row>
    <row r="54" spans="1:25" s="9" customFormat="1" ht="80.25" customHeight="1">
      <c r="A54" s="45">
        <v>3</v>
      </c>
      <c r="B54" s="33" t="s">
        <v>56</v>
      </c>
      <c r="C54" s="35" t="s">
        <v>55</v>
      </c>
      <c r="D54" s="35" t="s">
        <v>7</v>
      </c>
      <c r="E54" s="35" t="s">
        <v>30</v>
      </c>
      <c r="F54" s="35" t="s">
        <v>96</v>
      </c>
      <c r="G54" s="35" t="s">
        <v>102</v>
      </c>
      <c r="H54" s="35">
        <v>2016</v>
      </c>
      <c r="I54" s="35">
        <v>2016</v>
      </c>
      <c r="J54" s="36">
        <v>32213.200000000001</v>
      </c>
      <c r="K54" s="72">
        <v>32882.199999999997</v>
      </c>
      <c r="L54" s="72">
        <v>32882.199999999997</v>
      </c>
      <c r="M54" s="73">
        <f>8605.48+7292.499+3654.986+4121.88+2937.225</f>
        <v>26612.07</v>
      </c>
      <c r="N54" s="73">
        <f t="shared" ref="N54:O54" si="45">8605.48+7292.499+3654.986+4121.88+2937.225</f>
        <v>26612.07</v>
      </c>
      <c r="O54" s="73">
        <f t="shared" si="45"/>
        <v>26612.07</v>
      </c>
      <c r="P54" s="71">
        <f t="shared" si="3"/>
        <v>80.931537427544384</v>
      </c>
      <c r="Q54" s="71">
        <f t="shared" si="4"/>
        <v>100</v>
      </c>
      <c r="R54" s="93"/>
      <c r="S54" s="10"/>
      <c r="T54" s="10"/>
      <c r="U54" s="10"/>
      <c r="V54" s="10"/>
      <c r="W54" s="10"/>
      <c r="X54" s="10"/>
      <c r="Y54" s="10"/>
    </row>
    <row r="55" spans="1:25" ht="77.25" customHeight="1">
      <c r="A55" s="45">
        <v>4</v>
      </c>
      <c r="B55" s="33" t="s">
        <v>52</v>
      </c>
      <c r="C55" s="35" t="s">
        <v>53</v>
      </c>
      <c r="D55" s="35" t="s">
        <v>54</v>
      </c>
      <c r="E55" s="35" t="s">
        <v>30</v>
      </c>
      <c r="F55" s="35" t="s">
        <v>96</v>
      </c>
      <c r="G55" s="35" t="s">
        <v>102</v>
      </c>
      <c r="H55" s="35">
        <v>2015</v>
      </c>
      <c r="I55" s="35">
        <v>2016</v>
      </c>
      <c r="J55" s="36">
        <v>758971.3</v>
      </c>
      <c r="K55" s="72">
        <v>39256.199999999997</v>
      </c>
      <c r="L55" s="72">
        <v>39256.199999999997</v>
      </c>
      <c r="M55" s="72">
        <f>29395.75+253.974+338.634</f>
        <v>29988.358</v>
      </c>
      <c r="N55" s="72">
        <f t="shared" ref="N55:O55" si="46">29395.75+253.974+338.634</f>
        <v>29988.358</v>
      </c>
      <c r="O55" s="72">
        <f t="shared" si="46"/>
        <v>29988.358</v>
      </c>
      <c r="P55" s="71">
        <f t="shared" si="3"/>
        <v>76.391392951941356</v>
      </c>
      <c r="Q55" s="71">
        <f t="shared" si="4"/>
        <v>100</v>
      </c>
      <c r="R55" s="93"/>
    </row>
    <row r="56" spans="1:25" ht="74.25" customHeight="1">
      <c r="A56" s="45">
        <v>5</v>
      </c>
      <c r="B56" s="33" t="s">
        <v>110</v>
      </c>
      <c r="C56" s="35" t="s">
        <v>1</v>
      </c>
      <c r="D56" s="35" t="s">
        <v>14</v>
      </c>
      <c r="E56" s="35" t="s">
        <v>30</v>
      </c>
      <c r="F56" s="35" t="s">
        <v>96</v>
      </c>
      <c r="G56" s="35" t="s">
        <v>102</v>
      </c>
      <c r="H56" s="35">
        <v>2016</v>
      </c>
      <c r="I56" s="35">
        <v>2016</v>
      </c>
      <c r="J56" s="36">
        <f>3600+1367.4</f>
        <v>4967.3999999999996</v>
      </c>
      <c r="K56" s="72">
        <v>3750.4</v>
      </c>
      <c r="L56" s="72">
        <v>3750.4</v>
      </c>
      <c r="M56" s="72">
        <v>717.25</v>
      </c>
      <c r="N56" s="72">
        <v>717.25</v>
      </c>
      <c r="O56" s="72">
        <v>717.25</v>
      </c>
      <c r="P56" s="71">
        <f t="shared" ref="P56" si="47">O56/L56*100</f>
        <v>19.124626706484641</v>
      </c>
      <c r="Q56" s="71">
        <f t="shared" ref="Q56" si="48">O56/M56*100</f>
        <v>100</v>
      </c>
      <c r="R56" s="93"/>
    </row>
    <row r="57" spans="1:25" s="9" customFormat="1" ht="69.75" customHeight="1">
      <c r="A57" s="45">
        <v>6</v>
      </c>
      <c r="B57" s="33" t="s">
        <v>143</v>
      </c>
      <c r="C57" s="35" t="s">
        <v>144</v>
      </c>
      <c r="D57" s="35" t="s">
        <v>7</v>
      </c>
      <c r="E57" s="35" t="s">
        <v>30</v>
      </c>
      <c r="F57" s="35" t="s">
        <v>96</v>
      </c>
      <c r="G57" s="35" t="s">
        <v>102</v>
      </c>
      <c r="H57" s="35">
        <v>2015</v>
      </c>
      <c r="I57" s="35">
        <v>2020</v>
      </c>
      <c r="J57" s="36">
        <v>348458.4</v>
      </c>
      <c r="K57" s="72">
        <v>298.2</v>
      </c>
      <c r="L57" s="72">
        <v>298.2</v>
      </c>
      <c r="M57" s="72">
        <v>199.08</v>
      </c>
      <c r="N57" s="72">
        <v>199.08</v>
      </c>
      <c r="O57" s="72">
        <v>199.08</v>
      </c>
      <c r="P57" s="71">
        <f t="shared" ref="P57:P60" si="49">O57/L57*100</f>
        <v>66.760563380281695</v>
      </c>
      <c r="Q57" s="71">
        <f t="shared" si="4"/>
        <v>100</v>
      </c>
      <c r="R57" s="93"/>
      <c r="S57" s="10"/>
      <c r="T57" s="10"/>
      <c r="U57" s="10"/>
      <c r="V57" s="10"/>
      <c r="W57" s="10"/>
      <c r="X57" s="10"/>
      <c r="Y57" s="10"/>
    </row>
    <row r="58" spans="1:25" s="9" customFormat="1" ht="73.5" customHeight="1">
      <c r="A58" s="45">
        <v>7</v>
      </c>
      <c r="B58" s="33" t="s">
        <v>145</v>
      </c>
      <c r="C58" s="35" t="s">
        <v>1</v>
      </c>
      <c r="D58" s="35" t="s">
        <v>14</v>
      </c>
      <c r="E58" s="35" t="s">
        <v>30</v>
      </c>
      <c r="F58" s="35" t="s">
        <v>96</v>
      </c>
      <c r="G58" s="35" t="s">
        <v>102</v>
      </c>
      <c r="H58" s="35">
        <v>2015</v>
      </c>
      <c r="I58" s="35">
        <v>2016</v>
      </c>
      <c r="J58" s="36">
        <v>3397</v>
      </c>
      <c r="K58" s="72">
        <v>446.4</v>
      </c>
      <c r="L58" s="72">
        <v>446.4</v>
      </c>
      <c r="M58" s="72">
        <v>446.39</v>
      </c>
      <c r="N58" s="72">
        <v>446.39</v>
      </c>
      <c r="O58" s="72">
        <v>446.39</v>
      </c>
      <c r="P58" s="71">
        <f t="shared" si="49"/>
        <v>99.997759856630836</v>
      </c>
      <c r="Q58" s="71">
        <f t="shared" ref="Q58" si="50">O58/M58*100</f>
        <v>100</v>
      </c>
      <c r="R58" s="93"/>
      <c r="S58" s="10"/>
      <c r="T58" s="10"/>
      <c r="U58" s="10"/>
      <c r="V58" s="10"/>
      <c r="W58" s="10"/>
      <c r="X58" s="10"/>
      <c r="Y58" s="10"/>
    </row>
    <row r="59" spans="1:25" s="9" customFormat="1" ht="77.25" customHeight="1">
      <c r="A59" s="45">
        <v>8</v>
      </c>
      <c r="B59" s="38" t="s">
        <v>146</v>
      </c>
      <c r="C59" s="35" t="s">
        <v>147</v>
      </c>
      <c r="D59" s="35" t="s">
        <v>7</v>
      </c>
      <c r="E59" s="35" t="s">
        <v>30</v>
      </c>
      <c r="F59" s="35" t="s">
        <v>96</v>
      </c>
      <c r="G59" s="35" t="s">
        <v>102</v>
      </c>
      <c r="H59" s="35">
        <v>2015</v>
      </c>
      <c r="I59" s="35">
        <v>2016</v>
      </c>
      <c r="J59" s="36">
        <v>297080.90000000002</v>
      </c>
      <c r="K59" s="72">
        <v>52.1</v>
      </c>
      <c r="L59" s="72">
        <v>52.1</v>
      </c>
      <c r="M59" s="72">
        <v>52.1</v>
      </c>
      <c r="N59" s="72">
        <v>52.1</v>
      </c>
      <c r="O59" s="72">
        <v>52.08</v>
      </c>
      <c r="P59" s="71">
        <f t="shared" si="49"/>
        <v>99.961612284069091</v>
      </c>
      <c r="Q59" s="71">
        <f t="shared" si="4"/>
        <v>99.961612284069091</v>
      </c>
      <c r="R59" s="93"/>
      <c r="S59" s="10"/>
      <c r="T59" s="10"/>
      <c r="U59" s="10"/>
      <c r="V59" s="10"/>
      <c r="W59" s="10"/>
      <c r="X59" s="10"/>
      <c r="Y59" s="10"/>
    </row>
    <row r="60" spans="1:25" s="9" customFormat="1" ht="78.75" customHeight="1">
      <c r="A60" s="45">
        <v>9</v>
      </c>
      <c r="B60" s="33" t="s">
        <v>148</v>
      </c>
      <c r="C60" s="35" t="s">
        <v>1</v>
      </c>
      <c r="D60" s="35" t="s">
        <v>14</v>
      </c>
      <c r="E60" s="35" t="s">
        <v>30</v>
      </c>
      <c r="F60" s="35" t="s">
        <v>96</v>
      </c>
      <c r="G60" s="35" t="s">
        <v>102</v>
      </c>
      <c r="H60" s="35">
        <v>2015</v>
      </c>
      <c r="I60" s="35">
        <v>2016</v>
      </c>
      <c r="J60" s="36">
        <v>1990</v>
      </c>
      <c r="K60" s="72">
        <v>331.1</v>
      </c>
      <c r="L60" s="72">
        <v>331.1</v>
      </c>
      <c r="M60" s="72">
        <v>331.09800000000001</v>
      </c>
      <c r="N60" s="72">
        <v>331.09800000000001</v>
      </c>
      <c r="O60" s="72">
        <v>331.09800000000001</v>
      </c>
      <c r="P60" s="71">
        <f t="shared" si="49"/>
        <v>99.999395952884313</v>
      </c>
      <c r="Q60" s="71">
        <f t="shared" si="4"/>
        <v>100</v>
      </c>
      <c r="R60" s="93"/>
      <c r="S60" s="10"/>
      <c r="T60" s="10"/>
      <c r="U60" s="10"/>
      <c r="V60" s="10"/>
      <c r="W60" s="10"/>
      <c r="X60" s="10"/>
      <c r="Y60" s="10"/>
    </row>
    <row r="61" spans="1:25" s="9" customFormat="1" ht="84" customHeight="1">
      <c r="A61" s="45">
        <v>10</v>
      </c>
      <c r="B61" s="33" t="s">
        <v>196</v>
      </c>
      <c r="C61" s="35"/>
      <c r="D61" s="35"/>
      <c r="E61" s="35"/>
      <c r="F61" s="35" t="s">
        <v>96</v>
      </c>
      <c r="G61" s="35" t="s">
        <v>102</v>
      </c>
      <c r="H61" s="92"/>
      <c r="I61" s="92"/>
      <c r="J61" s="36"/>
      <c r="K61" s="72">
        <v>317</v>
      </c>
      <c r="L61" s="72">
        <v>317</v>
      </c>
      <c r="M61" s="72">
        <v>114.39</v>
      </c>
      <c r="N61" s="72">
        <v>114.39</v>
      </c>
      <c r="O61" s="72">
        <v>114.39</v>
      </c>
      <c r="P61" s="71">
        <f t="shared" ref="P61" si="51">O61/L61*100</f>
        <v>36.085173501577287</v>
      </c>
      <c r="Q61" s="71">
        <f t="shared" ref="Q61" si="52">O61/M61*100</f>
        <v>100</v>
      </c>
      <c r="R61" s="93"/>
      <c r="S61" s="10"/>
      <c r="T61" s="10"/>
      <c r="U61" s="10"/>
      <c r="V61" s="10"/>
      <c r="W61" s="10"/>
      <c r="X61" s="10"/>
      <c r="Y61" s="10"/>
    </row>
    <row r="62" spans="1:25" s="9" customFormat="1" ht="92.25" customHeight="1">
      <c r="A62" s="45">
        <v>11</v>
      </c>
      <c r="B62" s="33" t="s">
        <v>197</v>
      </c>
      <c r="C62" s="35"/>
      <c r="D62" s="35"/>
      <c r="E62" s="35"/>
      <c r="F62" s="35" t="s">
        <v>96</v>
      </c>
      <c r="G62" s="35" t="s">
        <v>102</v>
      </c>
      <c r="H62" s="92"/>
      <c r="I62" s="92"/>
      <c r="J62" s="36"/>
      <c r="K62" s="72">
        <v>182</v>
      </c>
      <c r="L62" s="72">
        <v>182</v>
      </c>
      <c r="M62" s="72"/>
      <c r="N62" s="72"/>
      <c r="O62" s="72"/>
      <c r="P62" s="71"/>
      <c r="Q62" s="71"/>
      <c r="R62" s="93"/>
      <c r="S62" s="10"/>
      <c r="T62" s="10"/>
      <c r="U62" s="10"/>
      <c r="V62" s="10"/>
      <c r="W62" s="10"/>
      <c r="X62" s="10"/>
      <c r="Y62" s="10"/>
    </row>
    <row r="63" spans="1:25" ht="54.75" customHeight="1">
      <c r="A63" s="108" t="s">
        <v>156</v>
      </c>
      <c r="B63" s="109"/>
      <c r="C63" s="109"/>
      <c r="D63" s="109"/>
      <c r="E63" s="109"/>
      <c r="F63" s="109"/>
      <c r="G63" s="109"/>
      <c r="H63" s="30"/>
      <c r="I63" s="30"/>
      <c r="J63" s="52">
        <f>J64+J66+J69+J65</f>
        <v>161231.13</v>
      </c>
      <c r="K63" s="79">
        <f>K64+K66+K69+K65</f>
        <v>90902.099999999991</v>
      </c>
      <c r="L63" s="79">
        <f>L64+L66+L69+L65</f>
        <v>90902.099999999991</v>
      </c>
      <c r="M63" s="79">
        <f t="shared" ref="M63:O63" si="53">M64+M66+M69+M65</f>
        <v>76285.599700000006</v>
      </c>
      <c r="N63" s="79">
        <f t="shared" si="53"/>
        <v>76285.599700000006</v>
      </c>
      <c r="O63" s="79">
        <f t="shared" si="53"/>
        <v>76285.599700000006</v>
      </c>
      <c r="P63" s="69">
        <f t="shared" si="3"/>
        <v>83.920613165152417</v>
      </c>
      <c r="Q63" s="69">
        <f t="shared" si="4"/>
        <v>100</v>
      </c>
      <c r="R63" s="93"/>
    </row>
    <row r="64" spans="1:25" s="9" customFormat="1" ht="99.75" customHeight="1">
      <c r="A64" s="45">
        <v>1</v>
      </c>
      <c r="B64" s="33" t="s">
        <v>59</v>
      </c>
      <c r="C64" s="35" t="s">
        <v>29</v>
      </c>
      <c r="D64" s="35" t="s">
        <v>7</v>
      </c>
      <c r="E64" s="35" t="s">
        <v>8</v>
      </c>
      <c r="F64" s="35" t="s">
        <v>95</v>
      </c>
      <c r="G64" s="35" t="s">
        <v>26</v>
      </c>
      <c r="H64" s="35">
        <v>2013</v>
      </c>
      <c r="I64" s="35">
        <v>2016</v>
      </c>
      <c r="J64" s="36">
        <v>119191.13</v>
      </c>
      <c r="K64" s="72">
        <v>70353.7</v>
      </c>
      <c r="L64" s="72">
        <v>70353.7</v>
      </c>
      <c r="M64" s="72">
        <f>4187.8167+1795.92616+3016.25714+4735.2592+3267.60995+10429.08338+6538.08534+7950.93232+12117.91235+9685.96196</f>
        <v>63724.844499999999</v>
      </c>
      <c r="N64" s="72">
        <f t="shared" ref="N64:O64" si="54">4187.8167+1795.92616+3016.25714+4735.2592+3267.60995+10429.08338+6538.08534+7950.93232+12117.91235+9685.96196</f>
        <v>63724.844499999999</v>
      </c>
      <c r="O64" s="72">
        <f t="shared" si="54"/>
        <v>63724.844499999999</v>
      </c>
      <c r="P64" s="71">
        <f t="shared" si="3"/>
        <v>90.577815381422738</v>
      </c>
      <c r="Q64" s="71">
        <f t="shared" si="4"/>
        <v>100</v>
      </c>
      <c r="R64" s="93"/>
      <c r="S64" s="10"/>
      <c r="T64" s="10"/>
      <c r="U64" s="10"/>
      <c r="V64" s="10"/>
      <c r="W64" s="10"/>
      <c r="X64" s="10"/>
      <c r="Y64" s="10"/>
    </row>
    <row r="65" spans="1:30" s="9" customFormat="1" ht="99.75" customHeight="1">
      <c r="A65" s="32" t="s">
        <v>167</v>
      </c>
      <c r="B65" s="33" t="s">
        <v>175</v>
      </c>
      <c r="C65" s="35"/>
      <c r="D65" s="35"/>
      <c r="E65" s="35"/>
      <c r="F65" s="34" t="s">
        <v>95</v>
      </c>
      <c r="G65" s="34" t="s">
        <v>168</v>
      </c>
      <c r="H65" s="35"/>
      <c r="I65" s="35"/>
      <c r="J65" s="36"/>
      <c r="K65" s="72">
        <v>10048.4</v>
      </c>
      <c r="L65" s="72">
        <v>10048.4</v>
      </c>
      <c r="M65" s="72">
        <v>10048.3552</v>
      </c>
      <c r="N65" s="72">
        <v>10048.3552</v>
      </c>
      <c r="O65" s="72">
        <v>10048.3552</v>
      </c>
      <c r="P65" s="71">
        <f t="shared" ref="P65" si="55">O65/L65*100</f>
        <v>99.999554157875878</v>
      </c>
      <c r="Q65" s="71">
        <f t="shared" ref="Q65" si="56">O65/M65*100</f>
        <v>100</v>
      </c>
      <c r="R65" s="93"/>
      <c r="S65" s="10"/>
      <c r="T65" s="10"/>
      <c r="U65" s="10"/>
      <c r="V65" s="10"/>
      <c r="W65" s="10"/>
      <c r="X65" s="10"/>
      <c r="Y65" s="10"/>
    </row>
    <row r="66" spans="1:30" s="9" customFormat="1" ht="23.25" customHeight="1">
      <c r="A66" s="106" t="s">
        <v>91</v>
      </c>
      <c r="B66" s="118"/>
      <c r="C66" s="118"/>
      <c r="D66" s="118"/>
      <c r="E66" s="118"/>
      <c r="F66" s="118"/>
      <c r="G66" s="118"/>
      <c r="H66" s="30"/>
      <c r="I66" s="30"/>
      <c r="J66" s="59">
        <f t="shared" ref="J66:K66" si="57">J67+J68</f>
        <v>35600</v>
      </c>
      <c r="K66" s="80">
        <f t="shared" si="57"/>
        <v>6000</v>
      </c>
      <c r="L66" s="80">
        <f t="shared" ref="L66" si="58">L67+L68</f>
        <v>6000</v>
      </c>
      <c r="M66" s="80"/>
      <c r="N66" s="80"/>
      <c r="O66" s="80"/>
      <c r="P66" s="71"/>
      <c r="Q66" s="71"/>
      <c r="R66" s="93"/>
      <c r="S66" s="10"/>
      <c r="T66" s="10"/>
      <c r="U66" s="10"/>
      <c r="V66" s="10"/>
      <c r="W66" s="10"/>
      <c r="X66" s="10"/>
      <c r="Y66" s="10"/>
    </row>
    <row r="67" spans="1:30" s="9" customFormat="1" ht="149.25" customHeight="1">
      <c r="A67" s="32" t="s">
        <v>60</v>
      </c>
      <c r="B67" s="33" t="s">
        <v>90</v>
      </c>
      <c r="C67" s="35" t="s">
        <v>89</v>
      </c>
      <c r="D67" s="35" t="s">
        <v>7</v>
      </c>
      <c r="E67" s="35" t="s">
        <v>8</v>
      </c>
      <c r="F67" s="35" t="s">
        <v>48</v>
      </c>
      <c r="G67" s="35" t="s">
        <v>88</v>
      </c>
      <c r="H67" s="35">
        <v>2016</v>
      </c>
      <c r="I67" s="35">
        <v>2016</v>
      </c>
      <c r="J67" s="36">
        <v>15000</v>
      </c>
      <c r="K67" s="72">
        <v>2520</v>
      </c>
      <c r="L67" s="72">
        <v>2520</v>
      </c>
      <c r="M67" s="72"/>
      <c r="N67" s="72"/>
      <c r="O67" s="72"/>
      <c r="P67" s="71"/>
      <c r="Q67" s="71"/>
      <c r="R67" s="93"/>
      <c r="S67" s="10"/>
      <c r="T67" s="10"/>
      <c r="U67" s="10"/>
      <c r="V67" s="10"/>
      <c r="W67" s="10"/>
      <c r="X67" s="10"/>
      <c r="Y67" s="10"/>
    </row>
    <row r="68" spans="1:30" s="9" customFormat="1" ht="149.25" customHeight="1">
      <c r="A68" s="32" t="s">
        <v>124</v>
      </c>
      <c r="B68" s="35" t="s">
        <v>129</v>
      </c>
      <c r="C68" s="35" t="s">
        <v>130</v>
      </c>
      <c r="D68" s="35" t="s">
        <v>7</v>
      </c>
      <c r="E68" s="35" t="s">
        <v>8</v>
      </c>
      <c r="F68" s="35" t="s">
        <v>48</v>
      </c>
      <c r="G68" s="35" t="s">
        <v>26</v>
      </c>
      <c r="H68" s="35">
        <v>2016</v>
      </c>
      <c r="I68" s="35">
        <v>2018</v>
      </c>
      <c r="J68" s="36">
        <v>20600</v>
      </c>
      <c r="K68" s="72">
        <v>3480</v>
      </c>
      <c r="L68" s="72">
        <v>3480</v>
      </c>
      <c r="M68" s="72"/>
      <c r="N68" s="72"/>
      <c r="O68" s="72"/>
      <c r="P68" s="71"/>
      <c r="Q68" s="71"/>
      <c r="R68" s="93"/>
      <c r="S68" s="10"/>
      <c r="T68" s="10"/>
      <c r="U68" s="10"/>
      <c r="V68" s="10"/>
      <c r="W68" s="10"/>
      <c r="X68" s="10"/>
      <c r="Y68" s="10"/>
    </row>
    <row r="69" spans="1:30" s="9" customFormat="1" ht="66.599999999999994" customHeight="1">
      <c r="A69" s="106" t="s">
        <v>86</v>
      </c>
      <c r="B69" s="118"/>
      <c r="C69" s="118"/>
      <c r="D69" s="118"/>
      <c r="E69" s="118"/>
      <c r="F69" s="118"/>
      <c r="G69" s="118"/>
      <c r="H69" s="30"/>
      <c r="I69" s="30"/>
      <c r="J69" s="59">
        <f>SUM(J70:J72)</f>
        <v>6440</v>
      </c>
      <c r="K69" s="80">
        <f>SUM(K70:K72)</f>
        <v>4500</v>
      </c>
      <c r="L69" s="80">
        <f>SUM(L70:L72)</f>
        <v>4500</v>
      </c>
      <c r="M69" s="80">
        <f t="shared" ref="M69:O69" si="59">SUM(M70:M72)</f>
        <v>2512.4</v>
      </c>
      <c r="N69" s="80">
        <f t="shared" si="59"/>
        <v>2512.4</v>
      </c>
      <c r="O69" s="80">
        <f t="shared" si="59"/>
        <v>2512.4</v>
      </c>
      <c r="P69" s="71">
        <f t="shared" ref="P69:P71" si="60">O69/L69*100</f>
        <v>55.831111111111106</v>
      </c>
      <c r="Q69" s="71">
        <f t="shared" ref="Q69:Q72" si="61">O69/M69*100</f>
        <v>100</v>
      </c>
      <c r="R69" s="93"/>
      <c r="S69" s="10"/>
      <c r="T69" s="10"/>
      <c r="U69" s="10"/>
      <c r="V69" s="10"/>
      <c r="W69" s="10"/>
      <c r="X69" s="10"/>
      <c r="Y69" s="10"/>
    </row>
    <row r="70" spans="1:30" s="9" customFormat="1" ht="84" customHeight="1">
      <c r="A70" s="32" t="s">
        <v>87</v>
      </c>
      <c r="B70" s="33" t="s">
        <v>172</v>
      </c>
      <c r="C70" s="35" t="s">
        <v>57</v>
      </c>
      <c r="D70" s="35" t="s">
        <v>14</v>
      </c>
      <c r="E70" s="35" t="s">
        <v>30</v>
      </c>
      <c r="F70" s="35" t="s">
        <v>96</v>
      </c>
      <c r="G70" s="35" t="s">
        <v>102</v>
      </c>
      <c r="H70" s="35">
        <v>2016</v>
      </c>
      <c r="I70" s="35">
        <v>2016</v>
      </c>
      <c r="J70" s="36">
        <v>2560</v>
      </c>
      <c r="K70" s="72">
        <v>1580</v>
      </c>
      <c r="L70" s="72">
        <v>1580</v>
      </c>
      <c r="M70" s="72">
        <f>999.4</f>
        <v>999.4</v>
      </c>
      <c r="N70" s="72">
        <f t="shared" ref="N70:O70" si="62">999.4</f>
        <v>999.4</v>
      </c>
      <c r="O70" s="72">
        <f t="shared" si="62"/>
        <v>999.4</v>
      </c>
      <c r="P70" s="71">
        <f t="shared" si="60"/>
        <v>63.253164556962027</v>
      </c>
      <c r="Q70" s="71">
        <f t="shared" si="61"/>
        <v>100</v>
      </c>
      <c r="R70" s="93"/>
      <c r="S70" s="10"/>
      <c r="T70" s="10"/>
      <c r="U70" s="10"/>
      <c r="V70" s="10"/>
      <c r="W70" s="10"/>
      <c r="X70" s="10"/>
      <c r="Y70" s="10"/>
    </row>
    <row r="71" spans="1:30" s="9" customFormat="1" ht="87" customHeight="1">
      <c r="A71" s="32" t="s">
        <v>92</v>
      </c>
      <c r="B71" s="33" t="s">
        <v>173</v>
      </c>
      <c r="C71" s="35" t="s">
        <v>58</v>
      </c>
      <c r="D71" s="35" t="s">
        <v>14</v>
      </c>
      <c r="E71" s="35" t="s">
        <v>30</v>
      </c>
      <c r="F71" s="35" t="s">
        <v>96</v>
      </c>
      <c r="G71" s="35" t="s">
        <v>102</v>
      </c>
      <c r="H71" s="35">
        <v>2016</v>
      </c>
      <c r="I71" s="35">
        <v>2016</v>
      </c>
      <c r="J71" s="36">
        <v>1940</v>
      </c>
      <c r="K71" s="72">
        <v>1940</v>
      </c>
      <c r="L71" s="72">
        <v>1940</v>
      </c>
      <c r="M71" s="72">
        <f>1188</f>
        <v>1188</v>
      </c>
      <c r="N71" s="72">
        <f>1188</f>
        <v>1188</v>
      </c>
      <c r="O71" s="72">
        <f>1188</f>
        <v>1188</v>
      </c>
      <c r="P71" s="71">
        <f t="shared" si="60"/>
        <v>61.237113402061858</v>
      </c>
      <c r="Q71" s="71">
        <f t="shared" si="61"/>
        <v>100</v>
      </c>
      <c r="R71" s="93"/>
      <c r="S71" s="10"/>
      <c r="T71" s="10"/>
      <c r="U71" s="10"/>
      <c r="V71" s="10"/>
      <c r="W71" s="10"/>
      <c r="X71" s="10"/>
      <c r="Y71" s="10"/>
    </row>
    <row r="72" spans="1:30" s="9" customFormat="1" ht="99.6" customHeight="1">
      <c r="A72" s="32" t="s">
        <v>170</v>
      </c>
      <c r="B72" s="33" t="s">
        <v>171</v>
      </c>
      <c r="C72" s="35" t="s">
        <v>58</v>
      </c>
      <c r="D72" s="35" t="s">
        <v>14</v>
      </c>
      <c r="E72" s="35" t="s">
        <v>30</v>
      </c>
      <c r="F72" s="35" t="s">
        <v>96</v>
      </c>
      <c r="G72" s="35" t="s">
        <v>102</v>
      </c>
      <c r="H72" s="35">
        <v>2016</v>
      </c>
      <c r="I72" s="35">
        <v>2016</v>
      </c>
      <c r="J72" s="36">
        <v>1940</v>
      </c>
      <c r="K72" s="72">
        <v>980</v>
      </c>
      <c r="L72" s="72">
        <v>980</v>
      </c>
      <c r="M72" s="72">
        <v>325</v>
      </c>
      <c r="N72" s="72">
        <v>325</v>
      </c>
      <c r="O72" s="72">
        <v>325</v>
      </c>
      <c r="P72" s="71">
        <f t="shared" si="3"/>
        <v>33.163265306122447</v>
      </c>
      <c r="Q72" s="71">
        <f t="shared" si="61"/>
        <v>100</v>
      </c>
      <c r="R72" s="93"/>
      <c r="S72" s="10"/>
      <c r="T72" s="10"/>
      <c r="U72" s="10"/>
      <c r="V72" s="10"/>
      <c r="W72" s="10"/>
      <c r="X72" s="10"/>
      <c r="Y72" s="10"/>
    </row>
    <row r="73" spans="1:30" s="9" customFormat="1" ht="82.15" customHeight="1">
      <c r="A73" s="108" t="s">
        <v>103</v>
      </c>
      <c r="B73" s="109"/>
      <c r="C73" s="109"/>
      <c r="D73" s="109"/>
      <c r="E73" s="109"/>
      <c r="F73" s="109"/>
      <c r="G73" s="109"/>
      <c r="H73" s="30"/>
      <c r="I73" s="30"/>
      <c r="J73" s="52">
        <f t="shared" ref="J73:K73" si="63">J74+J76+J77</f>
        <v>303321.75</v>
      </c>
      <c r="K73" s="79">
        <f t="shared" si="63"/>
        <v>71942.7</v>
      </c>
      <c r="L73" s="79">
        <f t="shared" ref="L73" si="64">L74+L76+L77</f>
        <v>71942.7</v>
      </c>
      <c r="M73" s="79">
        <f t="shared" ref="M73:O73" si="65">M74+M76+M77</f>
        <v>62954.340899999996</v>
      </c>
      <c r="N73" s="79">
        <f t="shared" si="65"/>
        <v>62954.340899999996</v>
      </c>
      <c r="O73" s="79">
        <f t="shared" si="65"/>
        <v>62954.340899999996</v>
      </c>
      <c r="P73" s="69">
        <f t="shared" si="3"/>
        <v>87.50622495402591</v>
      </c>
      <c r="Q73" s="69">
        <f t="shared" si="4"/>
        <v>100</v>
      </c>
      <c r="R73" s="93"/>
      <c r="S73" s="10"/>
      <c r="T73" s="10"/>
      <c r="U73" s="10"/>
      <c r="V73" s="10"/>
      <c r="W73" s="10"/>
      <c r="X73" s="10"/>
      <c r="Y73" s="10"/>
    </row>
    <row r="74" spans="1:30" s="9" customFormat="1" ht="107.45" hidden="1" customHeight="1">
      <c r="A74" s="45">
        <v>1</v>
      </c>
      <c r="B74" s="33" t="s">
        <v>76</v>
      </c>
      <c r="C74" s="35" t="s">
        <v>77</v>
      </c>
      <c r="D74" s="35" t="s">
        <v>7</v>
      </c>
      <c r="E74" s="35" t="s">
        <v>8</v>
      </c>
      <c r="F74" s="35" t="s">
        <v>95</v>
      </c>
      <c r="G74" s="35" t="s">
        <v>104</v>
      </c>
      <c r="H74" s="35">
        <v>2016</v>
      </c>
      <c r="I74" s="35">
        <v>2017</v>
      </c>
      <c r="J74" s="36"/>
      <c r="K74" s="72">
        <v>0</v>
      </c>
      <c r="L74" s="72">
        <v>0</v>
      </c>
      <c r="M74" s="72"/>
      <c r="N74" s="72"/>
      <c r="O74" s="72"/>
      <c r="P74" s="71" t="e">
        <f t="shared" si="3"/>
        <v>#DIV/0!</v>
      </c>
      <c r="Q74" s="71" t="e">
        <f t="shared" si="4"/>
        <v>#DIV/0!</v>
      </c>
      <c r="R74" s="93"/>
      <c r="S74" s="10"/>
      <c r="T74" s="10"/>
      <c r="U74" s="10"/>
      <c r="V74" s="10"/>
      <c r="W74" s="10"/>
      <c r="X74" s="10"/>
      <c r="Y74" s="10"/>
    </row>
    <row r="75" spans="1:30" s="9" customFormat="1" ht="132.75" hidden="1" customHeight="1">
      <c r="A75" s="45">
        <v>3</v>
      </c>
      <c r="B75" s="33" t="s">
        <v>73</v>
      </c>
      <c r="C75" s="35"/>
      <c r="D75" s="35" t="s">
        <v>7</v>
      </c>
      <c r="E75" s="35" t="s">
        <v>13</v>
      </c>
      <c r="F75" s="35" t="s">
        <v>25</v>
      </c>
      <c r="G75" s="35"/>
      <c r="H75" s="35"/>
      <c r="I75" s="35"/>
      <c r="J75" s="36"/>
      <c r="K75" s="72">
        <v>10000</v>
      </c>
      <c r="L75" s="72">
        <v>10000</v>
      </c>
      <c r="M75" s="72"/>
      <c r="N75" s="72"/>
      <c r="O75" s="72"/>
      <c r="P75" s="71">
        <f t="shared" si="3"/>
        <v>0</v>
      </c>
      <c r="Q75" s="71" t="e">
        <f t="shared" si="4"/>
        <v>#DIV/0!</v>
      </c>
      <c r="R75" s="93"/>
      <c r="S75" s="10"/>
      <c r="T75" s="10"/>
      <c r="U75" s="10"/>
      <c r="V75" s="10"/>
      <c r="W75" s="10"/>
      <c r="X75" s="10"/>
      <c r="Y75" s="10"/>
    </row>
    <row r="76" spans="1:30" s="9" customFormat="1" ht="97.15" customHeight="1">
      <c r="A76" s="45">
        <v>1</v>
      </c>
      <c r="B76" s="33" t="s">
        <v>131</v>
      </c>
      <c r="C76" s="35" t="s">
        <v>132</v>
      </c>
      <c r="D76" s="35" t="s">
        <v>7</v>
      </c>
      <c r="E76" s="35" t="s">
        <v>13</v>
      </c>
      <c r="F76" s="35" t="s">
        <v>95</v>
      </c>
      <c r="G76" s="35" t="s">
        <v>133</v>
      </c>
      <c r="H76" s="35">
        <v>2014</v>
      </c>
      <c r="I76" s="35">
        <v>2015</v>
      </c>
      <c r="J76" s="36">
        <v>232321.91</v>
      </c>
      <c r="K76" s="72">
        <v>11942.7</v>
      </c>
      <c r="L76" s="72">
        <v>11942.7</v>
      </c>
      <c r="M76" s="72">
        <f>2619.15585+9323.53011</f>
        <v>11942.685959999999</v>
      </c>
      <c r="N76" s="72">
        <f t="shared" ref="N76:O76" si="66">2619.15585+9323.53011</f>
        <v>11942.685959999999</v>
      </c>
      <c r="O76" s="72">
        <f t="shared" si="66"/>
        <v>11942.685959999999</v>
      </c>
      <c r="P76" s="71">
        <f t="shared" ref="P76:P77" si="67">O76/L76*100</f>
        <v>99.999882438644519</v>
      </c>
      <c r="Q76" s="71">
        <f t="shared" si="4"/>
        <v>100</v>
      </c>
      <c r="R76" s="93"/>
      <c r="S76" s="10"/>
      <c r="T76" s="10"/>
      <c r="U76" s="10"/>
      <c r="V76" s="10"/>
      <c r="W76" s="10"/>
      <c r="X76" s="10"/>
      <c r="Y76" s="10"/>
    </row>
    <row r="77" spans="1:30" s="9" customFormat="1" ht="95.45" customHeight="1">
      <c r="A77" s="45">
        <v>2</v>
      </c>
      <c r="B77" s="33" t="s">
        <v>134</v>
      </c>
      <c r="C77" s="35" t="s">
        <v>135</v>
      </c>
      <c r="D77" s="35" t="s">
        <v>7</v>
      </c>
      <c r="E77" s="35" t="s">
        <v>30</v>
      </c>
      <c r="F77" s="35" t="s">
        <v>95</v>
      </c>
      <c r="G77" s="35" t="s">
        <v>83</v>
      </c>
      <c r="H77" s="35">
        <v>2016</v>
      </c>
      <c r="I77" s="35">
        <v>2016</v>
      </c>
      <c r="J77" s="36">
        <v>70999.839999999997</v>
      </c>
      <c r="K77" s="72">
        <v>60000</v>
      </c>
      <c r="L77" s="72">
        <v>60000</v>
      </c>
      <c r="M77" s="72">
        <f>5000.06171+13574.44988+6425.66585+20219.94885+5791.52865</f>
        <v>51011.65494</v>
      </c>
      <c r="N77" s="72">
        <f t="shared" ref="N77:O77" si="68">5000.06171+13574.44988+6425.66585+20219.94885+5791.52865</f>
        <v>51011.65494</v>
      </c>
      <c r="O77" s="72">
        <f t="shared" si="68"/>
        <v>51011.65494</v>
      </c>
      <c r="P77" s="71">
        <f t="shared" si="67"/>
        <v>85.01942489999999</v>
      </c>
      <c r="Q77" s="71">
        <f t="shared" ref="Q77" si="69">O77/M77*100</f>
        <v>100</v>
      </c>
      <c r="R77" s="93"/>
      <c r="S77" s="10"/>
      <c r="T77" s="10"/>
      <c r="U77" s="10"/>
      <c r="V77" s="10"/>
      <c r="W77" s="10"/>
      <c r="X77" s="10"/>
      <c r="Y77" s="10"/>
    </row>
    <row r="78" spans="1:30" s="7" customFormat="1" ht="59.25" customHeight="1">
      <c r="A78" s="108" t="s">
        <v>154</v>
      </c>
      <c r="B78" s="109"/>
      <c r="C78" s="109"/>
      <c r="D78" s="109"/>
      <c r="E78" s="109"/>
      <c r="F78" s="109"/>
      <c r="G78" s="109"/>
      <c r="H78" s="30"/>
      <c r="I78" s="30"/>
      <c r="J78" s="52">
        <f>J79</f>
        <v>86243.42</v>
      </c>
      <c r="K78" s="79">
        <f>K79</f>
        <v>10000</v>
      </c>
      <c r="L78" s="79">
        <f>L79</f>
        <v>10000</v>
      </c>
      <c r="M78" s="79"/>
      <c r="N78" s="79"/>
      <c r="O78" s="79"/>
      <c r="P78" s="69"/>
      <c r="Q78" s="69"/>
      <c r="R78" s="93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30" ht="146.44999999999999" customHeight="1">
      <c r="A79" s="45">
        <v>1</v>
      </c>
      <c r="B79" s="38" t="s">
        <v>69</v>
      </c>
      <c r="C79" s="34" t="s">
        <v>41</v>
      </c>
      <c r="D79" s="35" t="s">
        <v>7</v>
      </c>
      <c r="E79" s="35" t="s">
        <v>8</v>
      </c>
      <c r="F79" s="35" t="s">
        <v>48</v>
      </c>
      <c r="G79" s="35" t="s">
        <v>21</v>
      </c>
      <c r="H79" s="35">
        <v>2015</v>
      </c>
      <c r="I79" s="35">
        <v>2016</v>
      </c>
      <c r="J79" s="36">
        <v>86243.42</v>
      </c>
      <c r="K79" s="72">
        <v>10000</v>
      </c>
      <c r="L79" s="72">
        <v>10000</v>
      </c>
      <c r="M79" s="72"/>
      <c r="N79" s="72"/>
      <c r="O79" s="72"/>
      <c r="P79" s="71"/>
      <c r="Q79" s="71"/>
      <c r="R79" s="93"/>
    </row>
    <row r="80" spans="1:30" ht="60" customHeight="1">
      <c r="A80" s="108" t="s">
        <v>155</v>
      </c>
      <c r="B80" s="109"/>
      <c r="C80" s="109"/>
      <c r="D80" s="109"/>
      <c r="E80" s="109"/>
      <c r="F80" s="109"/>
      <c r="G80" s="109"/>
      <c r="H80" s="109"/>
      <c r="I80" s="110"/>
      <c r="J80" s="29">
        <f>J81</f>
        <v>1785</v>
      </c>
      <c r="K80" s="68">
        <f t="shared" ref="K80:O80" si="70">K81</f>
        <v>1785</v>
      </c>
      <c r="L80" s="68">
        <f t="shared" si="70"/>
        <v>1785</v>
      </c>
      <c r="M80" s="68">
        <f t="shared" si="70"/>
        <v>1785</v>
      </c>
      <c r="N80" s="68">
        <f t="shared" si="70"/>
        <v>1785</v>
      </c>
      <c r="O80" s="68">
        <f t="shared" si="70"/>
        <v>1785</v>
      </c>
      <c r="P80" s="69">
        <f t="shared" ref="P80:P83" si="71">O80/L80*100</f>
        <v>100</v>
      </c>
      <c r="Q80" s="69">
        <f t="shared" ref="Q80" si="72">O80/M80*100</f>
        <v>100</v>
      </c>
      <c r="R80" s="93"/>
      <c r="Z80" s="5"/>
      <c r="AA80" s="5"/>
      <c r="AB80" s="5"/>
      <c r="AC80" s="5"/>
      <c r="AD80" s="5"/>
    </row>
    <row r="81" spans="1:25" s="2" customFormat="1" ht="96.75" customHeight="1">
      <c r="A81" s="32" t="s">
        <v>42</v>
      </c>
      <c r="B81" s="33" t="s">
        <v>136</v>
      </c>
      <c r="C81" s="35" t="s">
        <v>1</v>
      </c>
      <c r="D81" s="35" t="s">
        <v>14</v>
      </c>
      <c r="E81" s="35" t="s">
        <v>30</v>
      </c>
      <c r="F81" s="35" t="s">
        <v>95</v>
      </c>
      <c r="G81" s="35" t="s">
        <v>83</v>
      </c>
      <c r="H81" s="35">
        <v>2015</v>
      </c>
      <c r="I81" s="35">
        <v>2016</v>
      </c>
      <c r="J81" s="36">
        <v>1785</v>
      </c>
      <c r="K81" s="72">
        <v>1785</v>
      </c>
      <c r="L81" s="72">
        <v>1785</v>
      </c>
      <c r="M81" s="72">
        <v>1785</v>
      </c>
      <c r="N81" s="72">
        <v>1785</v>
      </c>
      <c r="O81" s="72">
        <v>1785</v>
      </c>
      <c r="P81" s="71">
        <f t="shared" si="71"/>
        <v>100</v>
      </c>
      <c r="Q81" s="71">
        <f t="shared" ref="Q81:Q84" si="73">O81/M81*100</f>
        <v>100</v>
      </c>
      <c r="R81" s="95"/>
      <c r="S81" s="6"/>
      <c r="T81" s="6"/>
      <c r="U81" s="6"/>
      <c r="V81" s="6"/>
      <c r="W81" s="6"/>
      <c r="X81" s="6"/>
      <c r="Y81" s="6"/>
    </row>
    <row r="82" spans="1:25" s="2" customFormat="1" ht="69" customHeight="1">
      <c r="A82" s="108" t="s">
        <v>137</v>
      </c>
      <c r="B82" s="109"/>
      <c r="C82" s="109"/>
      <c r="D82" s="109"/>
      <c r="E82" s="109"/>
      <c r="F82" s="109"/>
      <c r="G82" s="109"/>
      <c r="H82" s="109"/>
      <c r="I82" s="110"/>
      <c r="J82" s="29">
        <f>J83</f>
        <v>6000</v>
      </c>
      <c r="K82" s="68">
        <f t="shared" ref="K82:O82" si="74">K83</f>
        <v>3800</v>
      </c>
      <c r="L82" s="68">
        <f t="shared" si="74"/>
        <v>3800</v>
      </c>
      <c r="M82" s="68">
        <f t="shared" si="74"/>
        <v>9.0860000000000003</v>
      </c>
      <c r="N82" s="68">
        <f t="shared" si="74"/>
        <v>9.0860000000000003</v>
      </c>
      <c r="O82" s="68">
        <f t="shared" si="74"/>
        <v>9.0860000000000003</v>
      </c>
      <c r="P82" s="69">
        <f t="shared" si="71"/>
        <v>0.23910526315789474</v>
      </c>
      <c r="Q82" s="69">
        <f t="shared" si="73"/>
        <v>100</v>
      </c>
      <c r="R82" s="95"/>
      <c r="S82" s="6"/>
      <c r="T82" s="6"/>
      <c r="U82" s="6"/>
      <c r="V82" s="6"/>
      <c r="W82" s="6"/>
      <c r="X82" s="6"/>
      <c r="Y82" s="6"/>
    </row>
    <row r="83" spans="1:25" s="2" customFormat="1" ht="102" customHeight="1">
      <c r="A83" s="32" t="s">
        <v>42</v>
      </c>
      <c r="B83" s="33" t="s">
        <v>138</v>
      </c>
      <c r="C83" s="35" t="s">
        <v>1</v>
      </c>
      <c r="D83" s="35" t="s">
        <v>14</v>
      </c>
      <c r="E83" s="35" t="s">
        <v>30</v>
      </c>
      <c r="F83" s="35" t="s">
        <v>95</v>
      </c>
      <c r="G83" s="35" t="s">
        <v>83</v>
      </c>
      <c r="H83" s="35">
        <v>2016</v>
      </c>
      <c r="I83" s="35">
        <v>2016</v>
      </c>
      <c r="J83" s="36">
        <v>6000</v>
      </c>
      <c r="K83" s="72">
        <f>6000-2200</f>
        <v>3800</v>
      </c>
      <c r="L83" s="72">
        <f>6000-2200</f>
        <v>3800</v>
      </c>
      <c r="M83" s="96">
        <f>9.086</f>
        <v>9.0860000000000003</v>
      </c>
      <c r="N83" s="96">
        <f t="shared" ref="N83:O83" si="75">9.086</f>
        <v>9.0860000000000003</v>
      </c>
      <c r="O83" s="96">
        <f t="shared" si="75"/>
        <v>9.0860000000000003</v>
      </c>
      <c r="P83" s="71">
        <f t="shared" si="71"/>
        <v>0.23910526315789474</v>
      </c>
      <c r="Q83" s="71">
        <f t="shared" si="73"/>
        <v>100</v>
      </c>
      <c r="R83" s="95"/>
      <c r="S83" s="6"/>
      <c r="T83" s="6"/>
      <c r="U83" s="6"/>
      <c r="V83" s="6"/>
      <c r="W83" s="6"/>
      <c r="X83" s="6"/>
      <c r="Y83" s="6"/>
    </row>
    <row r="84" spans="1:25" s="2" customFormat="1" ht="51.6" customHeight="1">
      <c r="A84" s="108" t="s">
        <v>153</v>
      </c>
      <c r="B84" s="109"/>
      <c r="C84" s="109"/>
      <c r="D84" s="109"/>
      <c r="E84" s="109"/>
      <c r="F84" s="109"/>
      <c r="G84" s="109"/>
      <c r="H84" s="109"/>
      <c r="I84" s="110"/>
      <c r="J84" s="29">
        <f>J85+J86</f>
        <v>337743.39</v>
      </c>
      <c r="K84" s="68">
        <f>K85+K86</f>
        <v>7651.7</v>
      </c>
      <c r="L84" s="68">
        <f>L85+L86</f>
        <v>7651.7</v>
      </c>
      <c r="M84" s="68">
        <f t="shared" ref="M84:O84" si="76">M85+M86</f>
        <v>178.09155999999999</v>
      </c>
      <c r="N84" s="68">
        <f t="shared" si="76"/>
        <v>178.09155999999999</v>
      </c>
      <c r="O84" s="68">
        <f t="shared" si="76"/>
        <v>178.09155999999999</v>
      </c>
      <c r="P84" s="69">
        <f t="shared" ref="P84:P86" si="77">O84/L84*100</f>
        <v>2.3274770312479576</v>
      </c>
      <c r="Q84" s="69">
        <f t="shared" si="73"/>
        <v>100</v>
      </c>
      <c r="R84" s="95"/>
      <c r="S84" s="6"/>
      <c r="T84" s="6"/>
      <c r="U84" s="6"/>
      <c r="V84" s="6"/>
      <c r="W84" s="6"/>
      <c r="X84" s="6"/>
      <c r="Y84" s="6"/>
    </row>
    <row r="85" spans="1:25" s="2" customFormat="1" ht="98.25" customHeight="1">
      <c r="A85" s="32" t="s">
        <v>42</v>
      </c>
      <c r="B85" s="33" t="s">
        <v>139</v>
      </c>
      <c r="C85" s="35" t="s">
        <v>1</v>
      </c>
      <c r="D85" s="35" t="s">
        <v>7</v>
      </c>
      <c r="E85" s="35" t="s">
        <v>30</v>
      </c>
      <c r="F85" s="35" t="s">
        <v>95</v>
      </c>
      <c r="G85" s="35" t="s">
        <v>83</v>
      </c>
      <c r="H85" s="35">
        <v>2016</v>
      </c>
      <c r="I85" s="35">
        <v>2018</v>
      </c>
      <c r="J85" s="36">
        <v>336743.39</v>
      </c>
      <c r="K85" s="81">
        <v>6651.7</v>
      </c>
      <c r="L85" s="81">
        <v>6651.7</v>
      </c>
      <c r="M85" s="97"/>
      <c r="N85" s="97"/>
      <c r="O85" s="97"/>
      <c r="P85" s="71"/>
      <c r="Q85" s="71"/>
      <c r="R85" s="95"/>
      <c r="S85" s="6"/>
      <c r="T85" s="6"/>
      <c r="U85" s="6"/>
      <c r="V85" s="6"/>
      <c r="W85" s="6"/>
      <c r="X85" s="6"/>
      <c r="Y85" s="6"/>
    </row>
    <row r="86" spans="1:25" s="2" customFormat="1" ht="172.15" customHeight="1">
      <c r="A86" s="32" t="s">
        <v>34</v>
      </c>
      <c r="B86" s="33" t="s">
        <v>169</v>
      </c>
      <c r="C86" s="35"/>
      <c r="D86" s="35" t="s">
        <v>14</v>
      </c>
      <c r="E86" s="35" t="s">
        <v>30</v>
      </c>
      <c r="F86" s="35" t="s">
        <v>95</v>
      </c>
      <c r="G86" s="35" t="s">
        <v>83</v>
      </c>
      <c r="H86" s="35">
        <v>2016</v>
      </c>
      <c r="I86" s="35">
        <v>2016</v>
      </c>
      <c r="J86" s="36">
        <v>1000</v>
      </c>
      <c r="K86" s="81">
        <v>1000</v>
      </c>
      <c r="L86" s="81">
        <v>1000</v>
      </c>
      <c r="M86" s="97">
        <f>178.09156</f>
        <v>178.09155999999999</v>
      </c>
      <c r="N86" s="97">
        <f t="shared" ref="N86:O86" si="78">178.09156</f>
        <v>178.09155999999999</v>
      </c>
      <c r="O86" s="97">
        <f t="shared" si="78"/>
        <v>178.09155999999999</v>
      </c>
      <c r="P86" s="71">
        <f t="shared" si="77"/>
        <v>17.809155999999998</v>
      </c>
      <c r="Q86" s="71">
        <f t="shared" ref="Q86:Q87" si="79">O86/M86*100</f>
        <v>100</v>
      </c>
      <c r="R86" s="95"/>
      <c r="S86" s="6"/>
      <c r="T86" s="6"/>
      <c r="U86" s="6"/>
      <c r="V86" s="6"/>
      <c r="W86" s="6"/>
      <c r="X86" s="6"/>
      <c r="Y86" s="6"/>
    </row>
    <row r="87" spans="1:25" s="2" customFormat="1" ht="38.450000000000003" customHeight="1">
      <c r="A87" s="108" t="s">
        <v>181</v>
      </c>
      <c r="B87" s="109"/>
      <c r="C87" s="109"/>
      <c r="D87" s="109"/>
      <c r="E87" s="109"/>
      <c r="F87" s="109"/>
      <c r="G87" s="109"/>
      <c r="H87" s="109"/>
      <c r="I87" s="110"/>
      <c r="J87" s="60">
        <f>J88</f>
        <v>49600</v>
      </c>
      <c r="K87" s="82">
        <f t="shared" ref="K87:L87" si="80">K88</f>
        <v>49600</v>
      </c>
      <c r="L87" s="82">
        <f t="shared" si="80"/>
        <v>49600</v>
      </c>
      <c r="M87" s="82">
        <f t="shared" ref="M87" si="81">M88</f>
        <v>49600</v>
      </c>
      <c r="N87" s="82">
        <f t="shared" ref="N87" si="82">N88</f>
        <v>49578.74</v>
      </c>
      <c r="O87" s="82">
        <f t="shared" ref="O87" si="83">O88</f>
        <v>49578.74</v>
      </c>
      <c r="P87" s="69">
        <f t="shared" ref="P87:P88" si="84">O87/L87*100</f>
        <v>99.95713709677419</v>
      </c>
      <c r="Q87" s="69">
        <f t="shared" si="79"/>
        <v>99.95713709677419</v>
      </c>
      <c r="R87" s="95"/>
      <c r="S87" s="6"/>
      <c r="T87" s="6"/>
      <c r="U87" s="6"/>
      <c r="V87" s="6"/>
      <c r="W87" s="6"/>
      <c r="X87" s="6"/>
      <c r="Y87" s="6"/>
    </row>
    <row r="88" spans="1:25" s="2" customFormat="1" ht="172.15" customHeight="1">
      <c r="A88" s="32" t="s">
        <v>42</v>
      </c>
      <c r="B88" s="61" t="s">
        <v>182</v>
      </c>
      <c r="C88" s="62"/>
      <c r="D88" s="62" t="s">
        <v>11</v>
      </c>
      <c r="E88" s="63" t="s">
        <v>183</v>
      </c>
      <c r="F88" s="63" t="s">
        <v>184</v>
      </c>
      <c r="G88" s="63" t="s">
        <v>185</v>
      </c>
      <c r="H88" s="35">
        <v>2016</v>
      </c>
      <c r="I88" s="35">
        <v>2016</v>
      </c>
      <c r="J88" s="64">
        <v>49600</v>
      </c>
      <c r="K88" s="83">
        <v>49600</v>
      </c>
      <c r="L88" s="83">
        <v>49600</v>
      </c>
      <c r="M88" s="83">
        <v>49600</v>
      </c>
      <c r="N88" s="84">
        <v>49578.74</v>
      </c>
      <c r="O88" s="84">
        <v>49578.74</v>
      </c>
      <c r="P88" s="71">
        <f t="shared" si="84"/>
        <v>99.95713709677419</v>
      </c>
      <c r="Q88" s="71">
        <f t="shared" ref="Q88" si="85">O88/M88*100</f>
        <v>99.95713709677419</v>
      </c>
      <c r="R88" s="98"/>
      <c r="S88" s="6"/>
      <c r="T88" s="6"/>
      <c r="U88" s="6"/>
      <c r="V88" s="6"/>
      <c r="W88" s="6"/>
      <c r="X88" s="6"/>
      <c r="Y88" s="6"/>
    </row>
    <row r="89" spans="1:25" s="2" customFormat="1" ht="58.5" hidden="1" customHeight="1">
      <c r="A89" s="32"/>
      <c r="B89" s="86"/>
      <c r="C89" s="87"/>
      <c r="D89" s="87"/>
      <c r="E89" s="88"/>
      <c r="F89" s="88"/>
      <c r="G89" s="91"/>
      <c r="H89" s="89"/>
      <c r="I89" s="89"/>
      <c r="J89" s="90"/>
      <c r="K89" s="83"/>
      <c r="L89" s="83"/>
      <c r="M89" s="83"/>
      <c r="N89" s="84"/>
      <c r="O89" s="84"/>
      <c r="P89" s="71"/>
      <c r="Q89" s="71"/>
      <c r="R89" s="99"/>
      <c r="S89" s="6"/>
      <c r="T89" s="6"/>
      <c r="U89" s="6"/>
      <c r="V89" s="6"/>
      <c r="W89" s="6"/>
      <c r="X89" s="6"/>
      <c r="Y89" s="6"/>
    </row>
    <row r="90" spans="1:25" s="2" customFormat="1" ht="49.5" hidden="1" customHeight="1">
      <c r="A90" s="32"/>
      <c r="B90" s="61"/>
      <c r="C90" s="62"/>
      <c r="D90" s="62"/>
      <c r="E90" s="63"/>
      <c r="F90" s="63"/>
      <c r="G90" s="63"/>
      <c r="H90" s="35"/>
      <c r="I90" s="35"/>
      <c r="J90" s="64"/>
      <c r="K90" s="83"/>
      <c r="L90" s="83"/>
      <c r="M90" s="83"/>
      <c r="N90" s="84"/>
      <c r="O90" s="84"/>
      <c r="P90" s="71"/>
      <c r="Q90" s="71"/>
      <c r="R90" s="99"/>
      <c r="S90" s="6"/>
      <c r="T90" s="6"/>
      <c r="U90" s="6"/>
      <c r="V90" s="6"/>
      <c r="W90" s="6"/>
      <c r="X90" s="6"/>
      <c r="Y90" s="6"/>
    </row>
    <row r="91" spans="1:25" s="2" customFormat="1" ht="45" customHeight="1">
      <c r="A91" s="102" t="s">
        <v>140</v>
      </c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6"/>
      <c r="T91" s="6"/>
      <c r="U91" s="6"/>
      <c r="V91" s="6"/>
      <c r="W91" s="6"/>
      <c r="X91" s="6"/>
      <c r="Y91" s="6"/>
    </row>
    <row r="92" spans="1:25" s="2" customFormat="1" ht="38.25" customHeight="1">
      <c r="A92" s="114" t="s">
        <v>151</v>
      </c>
      <c r="B92" s="115"/>
      <c r="C92" s="115"/>
      <c r="D92" s="115"/>
      <c r="E92" s="115"/>
      <c r="F92" s="113"/>
      <c r="G92" s="113"/>
      <c r="H92" s="28"/>
      <c r="I92" s="28"/>
      <c r="J92" s="29">
        <f>J93+J94</f>
        <v>242440</v>
      </c>
      <c r="K92" s="68">
        <f t="shared" ref="K92:L92" si="86">K93+K94</f>
        <v>45616</v>
      </c>
      <c r="L92" s="68">
        <f t="shared" si="86"/>
        <v>45616</v>
      </c>
      <c r="M92" s="68">
        <f t="shared" ref="M92" si="87">M93+M94</f>
        <v>45616</v>
      </c>
      <c r="N92" s="68">
        <f t="shared" ref="N92" si="88">N93+N94</f>
        <v>45615.978999999999</v>
      </c>
      <c r="O92" s="68">
        <f t="shared" ref="O92" si="89">O93+O94</f>
        <v>45615.978999999999</v>
      </c>
      <c r="P92" s="69">
        <f t="shared" ref="P92:P93" si="90">O92/L92*100</f>
        <v>99.999953963521577</v>
      </c>
      <c r="Q92" s="69">
        <f t="shared" ref="Q92:Q94" si="91">O92/M92*100</f>
        <v>99.999953963521577</v>
      </c>
      <c r="R92" s="100"/>
      <c r="S92" s="6"/>
      <c r="T92" s="6"/>
      <c r="U92" s="6"/>
      <c r="V92" s="6"/>
      <c r="W92" s="6"/>
      <c r="X92" s="6"/>
      <c r="Y92" s="6"/>
    </row>
    <row r="93" spans="1:25" s="2" customFormat="1" ht="110.45" customHeight="1">
      <c r="A93" s="32" t="s">
        <v>42</v>
      </c>
      <c r="B93" s="33" t="s">
        <v>174</v>
      </c>
      <c r="C93" s="35" t="s">
        <v>28</v>
      </c>
      <c r="D93" s="35" t="s">
        <v>7</v>
      </c>
      <c r="E93" s="35" t="s">
        <v>8</v>
      </c>
      <c r="F93" s="35" t="s">
        <v>95</v>
      </c>
      <c r="G93" s="35" t="s">
        <v>22</v>
      </c>
      <c r="H93" s="35">
        <v>2014</v>
      </c>
      <c r="I93" s="35">
        <v>2016</v>
      </c>
      <c r="J93" s="36">
        <v>242440</v>
      </c>
      <c r="K93" s="81">
        <v>45566</v>
      </c>
      <c r="L93" s="81">
        <v>45566</v>
      </c>
      <c r="M93" s="101">
        <v>45566</v>
      </c>
      <c r="N93" s="101">
        <v>45565.978999999999</v>
      </c>
      <c r="O93" s="101">
        <v>45565.978999999999</v>
      </c>
      <c r="P93" s="71">
        <f t="shared" si="90"/>
        <v>99.999953913005314</v>
      </c>
      <c r="Q93" s="71">
        <f t="shared" si="91"/>
        <v>99.999953913005314</v>
      </c>
      <c r="R93" s="100"/>
      <c r="S93" s="6"/>
      <c r="T93" s="6"/>
      <c r="U93" s="6"/>
      <c r="V93" s="6"/>
      <c r="W93" s="6"/>
      <c r="X93" s="6"/>
      <c r="Y93" s="6"/>
    </row>
    <row r="94" spans="1:25" s="2" customFormat="1" ht="110.45" customHeight="1">
      <c r="A94" s="32" t="s">
        <v>34</v>
      </c>
      <c r="B94" s="40" t="s">
        <v>180</v>
      </c>
      <c r="C94" s="41" t="s">
        <v>6</v>
      </c>
      <c r="D94" s="35" t="s">
        <v>7</v>
      </c>
      <c r="E94" s="35" t="s">
        <v>8</v>
      </c>
      <c r="F94" s="35" t="s">
        <v>95</v>
      </c>
      <c r="G94" s="35" t="s">
        <v>85</v>
      </c>
      <c r="H94" s="35">
        <v>2015</v>
      </c>
      <c r="I94" s="35">
        <v>2017</v>
      </c>
      <c r="J94" s="36">
        <v>0</v>
      </c>
      <c r="K94" s="81">
        <v>50</v>
      </c>
      <c r="L94" s="81">
        <v>50</v>
      </c>
      <c r="M94" s="81">
        <v>50</v>
      </c>
      <c r="N94" s="81">
        <v>50</v>
      </c>
      <c r="O94" s="81">
        <v>50</v>
      </c>
      <c r="P94" s="71">
        <f t="shared" ref="P94" si="92">O94/L94*100</f>
        <v>100</v>
      </c>
      <c r="Q94" s="71">
        <f t="shared" si="91"/>
        <v>100</v>
      </c>
      <c r="R94" s="100"/>
      <c r="S94" s="6"/>
      <c r="T94" s="6"/>
      <c r="U94" s="6"/>
      <c r="V94" s="6"/>
      <c r="W94" s="6"/>
      <c r="X94" s="6"/>
      <c r="Y94" s="6"/>
    </row>
    <row r="95" spans="1:25" s="2" customFormat="1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25"/>
      <c r="M95" s="25"/>
      <c r="N95" s="25"/>
      <c r="O95" s="25"/>
      <c r="P95" s="25"/>
      <c r="Q95" s="25"/>
      <c r="R95" s="6"/>
      <c r="S95" s="6"/>
      <c r="T95" s="6"/>
      <c r="U95" s="6"/>
      <c r="V95" s="6"/>
      <c r="W95" s="6"/>
      <c r="X95" s="6"/>
      <c r="Y95" s="6"/>
    </row>
    <row r="96" spans="1:25" s="2" customFormat="1" ht="36.75" customHeight="1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25"/>
      <c r="M96" s="25"/>
      <c r="N96" s="25"/>
      <c r="O96" s="25"/>
      <c r="P96" s="25"/>
      <c r="Q96" s="25"/>
      <c r="R96" s="6"/>
      <c r="S96" s="6"/>
      <c r="T96" s="6"/>
      <c r="U96" s="6"/>
      <c r="V96" s="6"/>
      <c r="W96" s="6"/>
      <c r="X96" s="6"/>
      <c r="Y96" s="6"/>
    </row>
    <row r="97" spans="1:25" s="2" customFormat="1" ht="30" customHeight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25"/>
      <c r="M97" s="25"/>
      <c r="N97" s="25"/>
      <c r="O97" s="25"/>
      <c r="P97" s="25"/>
      <c r="Q97" s="25"/>
      <c r="R97" s="6"/>
      <c r="S97" s="6"/>
      <c r="T97" s="6"/>
      <c r="U97" s="6"/>
      <c r="V97" s="6"/>
      <c r="W97" s="6"/>
      <c r="X97" s="6"/>
      <c r="Y97" s="6"/>
    </row>
    <row r="98" spans="1:25" s="2" customFormat="1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25"/>
      <c r="M98" s="25"/>
      <c r="N98" s="25"/>
      <c r="O98" s="25"/>
      <c r="P98" s="25"/>
      <c r="Q98" s="25"/>
      <c r="R98" s="6"/>
      <c r="S98" s="6"/>
      <c r="T98" s="6"/>
      <c r="U98" s="6"/>
      <c r="V98" s="6"/>
      <c r="W98" s="6"/>
      <c r="X98" s="6"/>
      <c r="Y98" s="6"/>
    </row>
    <row r="99" spans="1:25" s="2" customFormat="1" ht="16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5"/>
      <c r="M99" s="25"/>
      <c r="N99" s="25"/>
      <c r="O99" s="25"/>
      <c r="P99" s="25"/>
      <c r="Q99" s="25"/>
      <c r="R99" s="6"/>
      <c r="S99" s="6"/>
      <c r="T99" s="6"/>
      <c r="U99" s="6"/>
      <c r="V99" s="6"/>
      <c r="W99" s="6"/>
      <c r="X99" s="6"/>
      <c r="Y99" s="6"/>
    </row>
    <row r="100" spans="1:25" s="2" customFormat="1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5"/>
      <c r="M100" s="25"/>
      <c r="N100" s="25"/>
      <c r="O100" s="25"/>
      <c r="P100" s="25"/>
      <c r="Q100" s="25"/>
      <c r="R100" s="6"/>
      <c r="S100" s="6"/>
      <c r="T100" s="6"/>
      <c r="U100" s="6"/>
      <c r="V100" s="6"/>
      <c r="W100" s="6"/>
      <c r="X100" s="6"/>
      <c r="Y100" s="6"/>
    </row>
    <row r="101" spans="1:25" s="2" customFormat="1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5"/>
      <c r="M101" s="25"/>
      <c r="N101" s="25"/>
      <c r="O101" s="25"/>
      <c r="P101" s="25"/>
      <c r="Q101" s="25"/>
      <c r="R101" s="6"/>
      <c r="S101" s="6"/>
      <c r="T101" s="6"/>
      <c r="U101" s="6"/>
      <c r="V101" s="6"/>
      <c r="W101" s="6"/>
      <c r="X101" s="6"/>
      <c r="Y101" s="6"/>
    </row>
    <row r="102" spans="1:25" s="2" customFormat="1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25"/>
      <c r="M102" s="25"/>
      <c r="N102" s="25"/>
      <c r="O102" s="25"/>
      <c r="P102" s="25"/>
      <c r="Q102" s="25"/>
      <c r="R102" s="6"/>
      <c r="S102" s="6"/>
      <c r="T102" s="6"/>
      <c r="U102" s="6"/>
      <c r="V102" s="6"/>
      <c r="W102" s="6"/>
      <c r="X102" s="6"/>
      <c r="Y102" s="6"/>
    </row>
    <row r="103" spans="1:25">
      <c r="A103" s="18"/>
      <c r="B103" s="19"/>
      <c r="C103" s="19"/>
      <c r="D103" s="19"/>
      <c r="E103" s="19"/>
      <c r="F103" s="19"/>
      <c r="G103" s="19"/>
      <c r="H103" s="19"/>
      <c r="I103" s="19"/>
      <c r="J103" s="20"/>
      <c r="K103" s="19"/>
    </row>
    <row r="104" spans="1:25">
      <c r="A104" s="18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26"/>
      <c r="M104" s="26"/>
      <c r="N104" s="26"/>
      <c r="O104" s="26"/>
      <c r="P104" s="26"/>
      <c r="Q104" s="26"/>
      <c r="R104" s="1"/>
      <c r="S104" s="1"/>
      <c r="T104" s="1"/>
      <c r="U104" s="1"/>
      <c r="V104" s="1"/>
      <c r="W104" s="1"/>
      <c r="X104" s="1"/>
      <c r="Y104" s="1"/>
    </row>
    <row r="105" spans="1:25">
      <c r="A105" s="18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26"/>
      <c r="M105" s="26"/>
      <c r="N105" s="26"/>
      <c r="O105" s="26"/>
      <c r="P105" s="26"/>
      <c r="Q105" s="26"/>
      <c r="R105" s="1"/>
      <c r="S105" s="1"/>
      <c r="T105" s="1"/>
      <c r="U105" s="1"/>
      <c r="V105" s="1"/>
      <c r="W105" s="1"/>
      <c r="X105" s="1"/>
      <c r="Y105" s="1"/>
    </row>
  </sheetData>
  <autoFilter ref="A7:AD93"/>
  <mergeCells count="45">
    <mergeCell ref="A87:I87"/>
    <mergeCell ref="A1:Q1"/>
    <mergeCell ref="A2:Q2"/>
    <mergeCell ref="A3:Q3"/>
    <mergeCell ref="L5:L6"/>
    <mergeCell ref="M5:M6"/>
    <mergeCell ref="N5:N6"/>
    <mergeCell ref="O5:O6"/>
    <mergeCell ref="P5:Q5"/>
    <mergeCell ref="K5:K6"/>
    <mergeCell ref="J5:J6"/>
    <mergeCell ref="B5:B6"/>
    <mergeCell ref="F5:F6"/>
    <mergeCell ref="H5:I5"/>
    <mergeCell ref="G5:G6"/>
    <mergeCell ref="E5:E6"/>
    <mergeCell ref="C5:C6"/>
    <mergeCell ref="A5:A6"/>
    <mergeCell ref="A9:G9"/>
    <mergeCell ref="A10:G10"/>
    <mergeCell ref="A20:G20"/>
    <mergeCell ref="A8:G8"/>
    <mergeCell ref="A35:G35"/>
    <mergeCell ref="A39:G39"/>
    <mergeCell ref="A66:G66"/>
    <mergeCell ref="A63:G63"/>
    <mergeCell ref="A51:G51"/>
    <mergeCell ref="A44:G44"/>
    <mergeCell ref="A41:I41"/>
    <mergeCell ref="A91:R91"/>
    <mergeCell ref="P4:Q4"/>
    <mergeCell ref="A97:K97"/>
    <mergeCell ref="A19:D19"/>
    <mergeCell ref="A96:K96"/>
    <mergeCell ref="A80:I80"/>
    <mergeCell ref="A82:I82"/>
    <mergeCell ref="A84:I84"/>
    <mergeCell ref="A78:G78"/>
    <mergeCell ref="A73:G73"/>
    <mergeCell ref="A17:G17"/>
    <mergeCell ref="A30:G30"/>
    <mergeCell ref="A92:G92"/>
    <mergeCell ref="D5:D6"/>
    <mergeCell ref="A69:G69"/>
    <mergeCell ref="A21:G21"/>
  </mergeCells>
  <phoneticPr fontId="5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54" fitToHeight="0" orientation="landscape" horizontalDpi="4294967295" verticalDpi="4294967295" r:id="rId1"/>
  <headerFooter differentFirst="1">
    <oddHeader>Страница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2016-10-10T13:08:25Z</cp:lastPrinted>
  <dcterms:created xsi:type="dcterms:W3CDTF">2014-05-08T06:25:05Z</dcterms:created>
  <dcterms:modified xsi:type="dcterms:W3CDTF">2016-10-10T13:08:40Z</dcterms:modified>
</cp:coreProperties>
</file>