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разделы, подразделы" sheetId="3" r:id="rId1"/>
    <sheet name="ведомство" sheetId="1" r:id="rId2"/>
    <sheet name="программы" sheetId="2" r:id="rId3"/>
  </sheets>
  <definedNames>
    <definedName name="_xlnm.Print_Titles" localSheetId="1">ведомство!$5:$7</definedName>
    <definedName name="_xlnm.Print_Titles" localSheetId="2">программы!$6:$8</definedName>
    <definedName name="_xlnm.Print_Titles" localSheetId="0">'разделы, подразделы'!$6:$8</definedName>
    <definedName name="_xlnm.Print_Area" localSheetId="1">ведомство!$A$1:$M$2990</definedName>
    <definedName name="_xlnm.Print_Area" localSheetId="2">программы!$A$1:$J$2155</definedName>
  </definedNames>
  <calcPr calcId="125725"/>
</workbook>
</file>

<file path=xl/calcChain.xml><?xml version="1.0" encoding="utf-8"?>
<calcChain xmlns="http://schemas.openxmlformats.org/spreadsheetml/2006/main">
  <c r="H957" i="1"/>
  <c r="J31" i="3"/>
  <c r="J16"/>
  <c r="M2988" i="1"/>
  <c r="L2988"/>
  <c r="M2986"/>
  <c r="L2986"/>
  <c r="L2979"/>
  <c r="M2977"/>
  <c r="L2977"/>
  <c r="L2966"/>
  <c r="M2963"/>
  <c r="L2963"/>
  <c r="M2957"/>
  <c r="L2957"/>
  <c r="M2948"/>
  <c r="L2948"/>
  <c r="M2946"/>
  <c r="L2946"/>
  <c r="M2941"/>
  <c r="L2941"/>
  <c r="M2939"/>
  <c r="L2939"/>
  <c r="M2934"/>
  <c r="L2934"/>
  <c r="M2932"/>
  <c r="L2932"/>
  <c r="M2919"/>
  <c r="L2919"/>
  <c r="M2895"/>
  <c r="L2895"/>
  <c r="M2894"/>
  <c r="L2894"/>
  <c r="M2892"/>
  <c r="L2892"/>
  <c r="M2881"/>
  <c r="L2881"/>
  <c r="M2878"/>
  <c r="L2878"/>
  <c r="M2876"/>
  <c r="L2876"/>
  <c r="M2865"/>
  <c r="L2865"/>
  <c r="M2862"/>
  <c r="L2862"/>
  <c r="M2860"/>
  <c r="L2860"/>
  <c r="M2853"/>
  <c r="L2853"/>
  <c r="M2848"/>
  <c r="L2848"/>
  <c r="M2842"/>
  <c r="L2842"/>
  <c r="M2838"/>
  <c r="L2838"/>
  <c r="M2833"/>
  <c r="L2833"/>
  <c r="M2825"/>
  <c r="L2825"/>
  <c r="M2823"/>
  <c r="L2823"/>
  <c r="L2810"/>
  <c r="L2797"/>
  <c r="M2790"/>
  <c r="L2790"/>
  <c r="M2787"/>
  <c r="L2787"/>
  <c r="M2784"/>
  <c r="L2784"/>
  <c r="L2779"/>
  <c r="L2776"/>
  <c r="M2767"/>
  <c r="L2767"/>
  <c r="L2760"/>
  <c r="L2750"/>
  <c r="M2743"/>
  <c r="L2743"/>
  <c r="M2741"/>
  <c r="L2741"/>
  <c r="M2738"/>
  <c r="L2738"/>
  <c r="M2735"/>
  <c r="L2735"/>
  <c r="M2725"/>
  <c r="L2725"/>
  <c r="L2722"/>
  <c r="M2721"/>
  <c r="L2721"/>
  <c r="M2719"/>
  <c r="L2719"/>
  <c r="M2713"/>
  <c r="L2713"/>
  <c r="M2709"/>
  <c r="L2709"/>
  <c r="M2698"/>
  <c r="L2698"/>
  <c r="M2685"/>
  <c r="L2685"/>
  <c r="M2679"/>
  <c r="L2679"/>
  <c r="M2675"/>
  <c r="L2675"/>
  <c r="M2671"/>
  <c r="M2661"/>
  <c r="L2661"/>
  <c r="M2659"/>
  <c r="L2659"/>
  <c r="M2647"/>
  <c r="L2647"/>
  <c r="M2645"/>
  <c r="L2645"/>
  <c r="L2635"/>
  <c r="M2629"/>
  <c r="L2629"/>
  <c r="M2626"/>
  <c r="L2626"/>
  <c r="M2618"/>
  <c r="L2618"/>
  <c r="M2617"/>
  <c r="L2617"/>
  <c r="M2613"/>
  <c r="L2613"/>
  <c r="M2610"/>
  <c r="L2610"/>
  <c r="M2607"/>
  <c r="L2607"/>
  <c r="M2603"/>
  <c r="L2603"/>
  <c r="M2600"/>
  <c r="L2600"/>
  <c r="L2598"/>
  <c r="M2595"/>
  <c r="L2595"/>
  <c r="M2590"/>
  <c r="L2590"/>
  <c r="L2588"/>
  <c r="M2580"/>
  <c r="L2580"/>
  <c r="L2577"/>
  <c r="M2569"/>
  <c r="L2569"/>
  <c r="M2567"/>
  <c r="L2567"/>
  <c r="M2560"/>
  <c r="L2560"/>
  <c r="M2558"/>
  <c r="L2558"/>
  <c r="M2551"/>
  <c r="L2551"/>
  <c r="M2545"/>
  <c r="L2545"/>
  <c r="M2542"/>
  <c r="L2542"/>
  <c r="M2538"/>
  <c r="L2538"/>
  <c r="M2536"/>
  <c r="L2536"/>
  <c r="M2533"/>
  <c r="L2533"/>
  <c r="M2529"/>
  <c r="L2529"/>
  <c r="L2524"/>
  <c r="M2519"/>
  <c r="L2519"/>
  <c r="M2516"/>
  <c r="L2516"/>
  <c r="M2512"/>
  <c r="L2512"/>
  <c r="M2508"/>
  <c r="L2508"/>
  <c r="M2504"/>
  <c r="L2504"/>
  <c r="M2501"/>
  <c r="L2501"/>
  <c r="M2498"/>
  <c r="L2498"/>
  <c r="M2496"/>
  <c r="L2496"/>
  <c r="M2491"/>
  <c r="L2491"/>
  <c r="M2486"/>
  <c r="L2486"/>
  <c r="M2480"/>
  <c r="L2480"/>
  <c r="M2475"/>
  <c r="L2475"/>
  <c r="M2473"/>
  <c r="L2473"/>
  <c r="M2470"/>
  <c r="L2470"/>
  <c r="M2468"/>
  <c r="L2468"/>
  <c r="M2466"/>
  <c r="L2466"/>
  <c r="M2458"/>
  <c r="L2458"/>
  <c r="M2452"/>
  <c r="L2452"/>
  <c r="L2444"/>
  <c r="M2435"/>
  <c r="L2435"/>
  <c r="M2433"/>
  <c r="L2433"/>
  <c r="M2423"/>
  <c r="L2423"/>
  <c r="M2421"/>
  <c r="L2421"/>
  <c r="M2417"/>
  <c r="L2417"/>
  <c r="M2414"/>
  <c r="L2414"/>
  <c r="M2411"/>
  <c r="L2411"/>
  <c r="M2408"/>
  <c r="L2408"/>
  <c r="M2402"/>
  <c r="L2402"/>
  <c r="M2400"/>
  <c r="L2400"/>
  <c r="M2396"/>
  <c r="L2396"/>
  <c r="M2393"/>
  <c r="L2393"/>
  <c r="M2390"/>
  <c r="L2390"/>
  <c r="M2387"/>
  <c r="L2387"/>
  <c r="M2384"/>
  <c r="L2384"/>
  <c r="M2382"/>
  <c r="L2382"/>
  <c r="M2381"/>
  <c r="L2381"/>
  <c r="L2379"/>
  <c r="M2376"/>
  <c r="L2376"/>
  <c r="M2373"/>
  <c r="L2373"/>
  <c r="M2370"/>
  <c r="L2370"/>
  <c r="M2365"/>
  <c r="L2365"/>
  <c r="M2363"/>
  <c r="L2363"/>
  <c r="L2357"/>
  <c r="L2355"/>
  <c r="M2351"/>
  <c r="L2351"/>
  <c r="M2343"/>
  <c r="L2343"/>
  <c r="M2334"/>
  <c r="L2334"/>
  <c r="M2323"/>
  <c r="L2323"/>
  <c r="M2315"/>
  <c r="L2315"/>
  <c r="M2313"/>
  <c r="L2313"/>
  <c r="M2309"/>
  <c r="L2309"/>
  <c r="M2305"/>
  <c r="L2305"/>
  <c r="M2301"/>
  <c r="L2301"/>
  <c r="M2293"/>
  <c r="L2293"/>
  <c r="M2289"/>
  <c r="L2289"/>
  <c r="M2285"/>
  <c r="L2285"/>
  <c r="M2282"/>
  <c r="L2282"/>
  <c r="M2281"/>
  <c r="L2281"/>
  <c r="M2279"/>
  <c r="L2279"/>
  <c r="M2273"/>
  <c r="L2273"/>
  <c r="M2271"/>
  <c r="L2271"/>
  <c r="M2269"/>
  <c r="L2269"/>
  <c r="M2262"/>
  <c r="L2262"/>
  <c r="M2260"/>
  <c r="L2260"/>
  <c r="M2249"/>
  <c r="L2249"/>
  <c r="M2245"/>
  <c r="L2245"/>
  <c r="M2243"/>
  <c r="L2243"/>
  <c r="M2233"/>
  <c r="L2233"/>
  <c r="L2229"/>
  <c r="L2226"/>
  <c r="M2222"/>
  <c r="L2222"/>
  <c r="M2217"/>
  <c r="L2217"/>
  <c r="M2213"/>
  <c r="L2213"/>
  <c r="L2206"/>
  <c r="M2205"/>
  <c r="L2205"/>
  <c r="L2202"/>
  <c r="M2198"/>
  <c r="L2198"/>
  <c r="M2195"/>
  <c r="L2195"/>
  <c r="M2194"/>
  <c r="L2194"/>
  <c r="M2190"/>
  <c r="L2190"/>
  <c r="M2184"/>
  <c r="L2184"/>
  <c r="M2182"/>
  <c r="L2182"/>
  <c r="M2179"/>
  <c r="L2179"/>
  <c r="M2177"/>
  <c r="L2177"/>
  <c r="M2174"/>
  <c r="L2174"/>
  <c r="M2172"/>
  <c r="L2172"/>
  <c r="M2169"/>
  <c r="L2169"/>
  <c r="M2167"/>
  <c r="L2167"/>
  <c r="M2164"/>
  <c r="L2164"/>
  <c r="M2162"/>
  <c r="L2162"/>
  <c r="M2159"/>
  <c r="L2159"/>
  <c r="M2157"/>
  <c r="L2157"/>
  <c r="M2154"/>
  <c r="L2154"/>
  <c r="M2150"/>
  <c r="L2150"/>
  <c r="L2147"/>
  <c r="M2141"/>
  <c r="L2141"/>
  <c r="M2139"/>
  <c r="L2139"/>
  <c r="M2135"/>
  <c r="L2135"/>
  <c r="M2134"/>
  <c r="L2134"/>
  <c r="M2132"/>
  <c r="L2132"/>
  <c r="L2127"/>
  <c r="M2122"/>
  <c r="L2122"/>
  <c r="M2120"/>
  <c r="L2120"/>
  <c r="M2116"/>
  <c r="L2116"/>
  <c r="M2113"/>
  <c r="L2113"/>
  <c r="M2110"/>
  <c r="L2110"/>
  <c r="M2108"/>
  <c r="L2108"/>
  <c r="M2105"/>
  <c r="L2105"/>
  <c r="M2103"/>
  <c r="L2103"/>
  <c r="M2100"/>
  <c r="L2100"/>
  <c r="M2098"/>
  <c r="L2098"/>
  <c r="M2095"/>
  <c r="L2095"/>
  <c r="M2093"/>
  <c r="L2093"/>
  <c r="M2090"/>
  <c r="L2090"/>
  <c r="M2088"/>
  <c r="L2088"/>
  <c r="M2085"/>
  <c r="L2085"/>
  <c r="M2083"/>
  <c r="L2083"/>
  <c r="M2080"/>
  <c r="L2080"/>
  <c r="M2078"/>
  <c r="L2078"/>
  <c r="M2075"/>
  <c r="L2075"/>
  <c r="M2073"/>
  <c r="L2073"/>
  <c r="M2070"/>
  <c r="L2070"/>
  <c r="M2068"/>
  <c r="L2068"/>
  <c r="M2065"/>
  <c r="L2065"/>
  <c r="M2063"/>
  <c r="L2063"/>
  <c r="M2060"/>
  <c r="L2060"/>
  <c r="M2058"/>
  <c r="L2058"/>
  <c r="M2055"/>
  <c r="L2055"/>
  <c r="M2053"/>
  <c r="L2053"/>
  <c r="M2050"/>
  <c r="L2050"/>
  <c r="M2048"/>
  <c r="L2048"/>
  <c r="M2043"/>
  <c r="L2043"/>
  <c r="M2040"/>
  <c r="L2040"/>
  <c r="M2038"/>
  <c r="L2038"/>
  <c r="M2035"/>
  <c r="L2035"/>
  <c r="M2033"/>
  <c r="L2033"/>
  <c r="M2028"/>
  <c r="L2028"/>
  <c r="M2025"/>
  <c r="L2025"/>
  <c r="M2020"/>
  <c r="L2020"/>
  <c r="M2017"/>
  <c r="L2017"/>
  <c r="M2015"/>
  <c r="L2015"/>
  <c r="M2010"/>
  <c r="L2010"/>
  <c r="M2007"/>
  <c r="L2007"/>
  <c r="M2005"/>
  <c r="L2005"/>
  <c r="M2002"/>
  <c r="L2002"/>
  <c r="M1999"/>
  <c r="L1999"/>
  <c r="M1997"/>
  <c r="L1997"/>
  <c r="M1994"/>
  <c r="L1994"/>
  <c r="M1992"/>
  <c r="L1992"/>
  <c r="M1989"/>
  <c r="L1989"/>
  <c r="M1987"/>
  <c r="L1987"/>
  <c r="M1984"/>
  <c r="L1984"/>
  <c r="M1982"/>
  <c r="L1982"/>
  <c r="M1979"/>
  <c r="L1979"/>
  <c r="M1977"/>
  <c r="L1977"/>
  <c r="M1974"/>
  <c r="L1974"/>
  <c r="M1972"/>
  <c r="L1972"/>
  <c r="M1969"/>
  <c r="L1969"/>
  <c r="M1966"/>
  <c r="L1966"/>
  <c r="M1960"/>
  <c r="L1960"/>
  <c r="M1959"/>
  <c r="L1959"/>
  <c r="M1955"/>
  <c r="L1955"/>
  <c r="M1952"/>
  <c r="L1952"/>
  <c r="M1948"/>
  <c r="L1948"/>
  <c r="M1944"/>
  <c r="L1944"/>
  <c r="M1941"/>
  <c r="L1941"/>
  <c r="M1938"/>
  <c r="L1938"/>
  <c r="M1934"/>
  <c r="L1934"/>
  <c r="M1933"/>
  <c r="L1933"/>
  <c r="M1929"/>
  <c r="L1929"/>
  <c r="M1925"/>
  <c r="L1925"/>
  <c r="M1922"/>
  <c r="L1922"/>
  <c r="M1920"/>
  <c r="L1920"/>
  <c r="L1917"/>
  <c r="M1913"/>
  <c r="L1913"/>
  <c r="M1908"/>
  <c r="L1908"/>
  <c r="M1906"/>
  <c r="L1906"/>
  <c r="M1898"/>
  <c r="L1898"/>
  <c r="M1896"/>
  <c r="L1896"/>
  <c r="M1888"/>
  <c r="L1888"/>
  <c r="M1885"/>
  <c r="L1885"/>
  <c r="M1881"/>
  <c r="L1881"/>
  <c r="M1876"/>
  <c r="L1876"/>
  <c r="M1868"/>
  <c r="L1868"/>
  <c r="M1865"/>
  <c r="L1865"/>
  <c r="M1861"/>
  <c r="L1861"/>
  <c r="M1859"/>
  <c r="L1859"/>
  <c r="M1856"/>
  <c r="L1856"/>
  <c r="L1852"/>
  <c r="M1850"/>
  <c r="L1850"/>
  <c r="M1848"/>
  <c r="L1848"/>
  <c r="M1843"/>
  <c r="L1843"/>
  <c r="M1839"/>
  <c r="L1839"/>
  <c r="M1837"/>
  <c r="L1837"/>
  <c r="M1835"/>
  <c r="L1835"/>
  <c r="M1825"/>
  <c r="L1825"/>
  <c r="M1822"/>
  <c r="L1822"/>
  <c r="L1814"/>
  <c r="M1809"/>
  <c r="L1809"/>
  <c r="M1786"/>
  <c r="L1786"/>
  <c r="M1784"/>
  <c r="L1784"/>
  <c r="M1783"/>
  <c r="L1783"/>
  <c r="L1781"/>
  <c r="M1778"/>
  <c r="L1778"/>
  <c r="M1775"/>
  <c r="L1775"/>
  <c r="M1772"/>
  <c r="L1772"/>
  <c r="M1770"/>
  <c r="L1770"/>
  <c r="L1769"/>
  <c r="L1767"/>
  <c r="L1763"/>
  <c r="L1760"/>
  <c r="M1758"/>
  <c r="L1758"/>
  <c r="M1750"/>
  <c r="L1750"/>
  <c r="M1745"/>
  <c r="L1745"/>
  <c r="M1734"/>
  <c r="L1734"/>
  <c r="M1728"/>
  <c r="L1728"/>
  <c r="L1725"/>
  <c r="M1723"/>
  <c r="L1723"/>
  <c r="M1719"/>
  <c r="L1719"/>
  <c r="M1715"/>
  <c r="L1715"/>
  <c r="M1711"/>
  <c r="L1711"/>
  <c r="M1709"/>
  <c r="M1705"/>
  <c r="L1705"/>
  <c r="M1702"/>
  <c r="L1702"/>
  <c r="M1698"/>
  <c r="L1698"/>
  <c r="M1694"/>
  <c r="L1694"/>
  <c r="M1688"/>
  <c r="L1688"/>
  <c r="M1685"/>
  <c r="L1685"/>
  <c r="M1681"/>
  <c r="L1681"/>
  <c r="M1678"/>
  <c r="L1678"/>
  <c r="M1674"/>
  <c r="L1674"/>
  <c r="M1671"/>
  <c r="L1671"/>
  <c r="M1665"/>
  <c r="L1665"/>
  <c r="L1659"/>
  <c r="M1657"/>
  <c r="L1657"/>
  <c r="M1651"/>
  <c r="L1651"/>
  <c r="M1647"/>
  <c r="L1647"/>
  <c r="M1644"/>
  <c r="L1644"/>
  <c r="M1641"/>
  <c r="L1641"/>
  <c r="M1638"/>
  <c r="L1638"/>
  <c r="L1630"/>
  <c r="L1627"/>
  <c r="M1619"/>
  <c r="L1619"/>
  <c r="M1616"/>
  <c r="L1616"/>
  <c r="M1607"/>
  <c r="L1607"/>
  <c r="M1603"/>
  <c r="L1603"/>
  <c r="M1600"/>
  <c r="L1600"/>
  <c r="M1596"/>
  <c r="L1596"/>
  <c r="M1593"/>
  <c r="L1593"/>
  <c r="L1587"/>
  <c r="M1584"/>
  <c r="L1584"/>
  <c r="M1578"/>
  <c r="L1578"/>
  <c r="M1575"/>
  <c r="L1575"/>
  <c r="L1567"/>
  <c r="L1566"/>
  <c r="L1565"/>
  <c r="L1564"/>
  <c r="M1563"/>
  <c r="L1563"/>
  <c r="M1555"/>
  <c r="L1555"/>
  <c r="L1547"/>
  <c r="L1543"/>
  <c r="M1539"/>
  <c r="L1539"/>
  <c r="M1537"/>
  <c r="L1537"/>
  <c r="M1535"/>
  <c r="L1535"/>
  <c r="M1530"/>
  <c r="L1530"/>
  <c r="M1529"/>
  <c r="L1529"/>
  <c r="M1523"/>
  <c r="L1523"/>
  <c r="M1518"/>
  <c r="L1518"/>
  <c r="L1513"/>
  <c r="M1511"/>
  <c r="L1511"/>
  <c r="M1503"/>
  <c r="L1503"/>
  <c r="M1497"/>
  <c r="L1497"/>
  <c r="M1494"/>
  <c r="L1494"/>
  <c r="M1485"/>
  <c r="L1485"/>
  <c r="M1482"/>
  <c r="L1482"/>
  <c r="M1475"/>
  <c r="L1475"/>
  <c r="M1470"/>
  <c r="L1470"/>
  <c r="M1467"/>
  <c r="L1467"/>
  <c r="M1463"/>
  <c r="L1463"/>
  <c r="M1459"/>
  <c r="L1459"/>
  <c r="M1457"/>
  <c r="L1457"/>
  <c r="M1456"/>
  <c r="L1456"/>
  <c r="M1454"/>
  <c r="L1454"/>
  <c r="M1448"/>
  <c r="L1448"/>
  <c r="M1445"/>
  <c r="L1445"/>
  <c r="M1442"/>
  <c r="L1442"/>
  <c r="M1439"/>
  <c r="L1439"/>
  <c r="M1435"/>
  <c r="L1435"/>
  <c r="L1432"/>
  <c r="M1429"/>
  <c r="L1429"/>
  <c r="M1426"/>
  <c r="L1426"/>
  <c r="M1423"/>
  <c r="L1423"/>
  <c r="M1420"/>
  <c r="L1420"/>
  <c r="M1417"/>
  <c r="L1417"/>
  <c r="M1414"/>
  <c r="L1414"/>
  <c r="L1411"/>
  <c r="M1408"/>
  <c r="L1408"/>
  <c r="M1405"/>
  <c r="L1405"/>
  <c r="M1402"/>
  <c r="L1402"/>
  <c r="M1399"/>
  <c r="L1399"/>
  <c r="M1396"/>
  <c r="L1396"/>
  <c r="M1393"/>
  <c r="L1393"/>
  <c r="M1390"/>
  <c r="L1390"/>
  <c r="M1387"/>
  <c r="L1387"/>
  <c r="M1384"/>
  <c r="L1384"/>
  <c r="M1381"/>
  <c r="L1381"/>
  <c r="M1378"/>
  <c r="L1378"/>
  <c r="M1375"/>
  <c r="L1375"/>
  <c r="M1372"/>
  <c r="L1372"/>
  <c r="M1369"/>
  <c r="L1369"/>
  <c r="M1366"/>
  <c r="L1366"/>
  <c r="M1363"/>
  <c r="L1363"/>
  <c r="L1360"/>
  <c r="M1357"/>
  <c r="L1357"/>
  <c r="M1354"/>
  <c r="L1354"/>
  <c r="M1351"/>
  <c r="L1351"/>
  <c r="M1348"/>
  <c r="L1348"/>
  <c r="M1345"/>
  <c r="L1345"/>
  <c r="M1342"/>
  <c r="L1342"/>
  <c r="M1340"/>
  <c r="M1337"/>
  <c r="L1337"/>
  <c r="M1334"/>
  <c r="L1334"/>
  <c r="M1331"/>
  <c r="L1331"/>
  <c r="M1328"/>
  <c r="L1328"/>
  <c r="M1325"/>
  <c r="L1325"/>
  <c r="M1322"/>
  <c r="L1322"/>
  <c r="M1319"/>
  <c r="L1319"/>
  <c r="M1316"/>
  <c r="L1316"/>
  <c r="M1313"/>
  <c r="L1313"/>
  <c r="M1310"/>
  <c r="L1310"/>
  <c r="M1307"/>
  <c r="L1307"/>
  <c r="M1304"/>
  <c r="L1304"/>
  <c r="M1301"/>
  <c r="L1301"/>
  <c r="M1295"/>
  <c r="L1295"/>
  <c r="M1292"/>
  <c r="L1292"/>
  <c r="M1289"/>
  <c r="L1289"/>
  <c r="M1286"/>
  <c r="L1286"/>
  <c r="M1283"/>
  <c r="L1283"/>
  <c r="M1277"/>
  <c r="L1277"/>
  <c r="M1274"/>
  <c r="L1274"/>
  <c r="M1271"/>
  <c r="L1271"/>
  <c r="M1268"/>
  <c r="L1268"/>
  <c r="M1260"/>
  <c r="L1260"/>
  <c r="M1254"/>
  <c r="L1254"/>
  <c r="M1246"/>
  <c r="L1246"/>
  <c r="M1240"/>
  <c r="L1240"/>
  <c r="M1237"/>
  <c r="L1237"/>
  <c r="M1234"/>
  <c r="L1234"/>
  <c r="M1231"/>
  <c r="L1231"/>
  <c r="M1229"/>
  <c r="L1229"/>
  <c r="M1226"/>
  <c r="L1226"/>
  <c r="M1223"/>
  <c r="L1223"/>
  <c r="M1221"/>
  <c r="L1221"/>
  <c r="M1218"/>
  <c r="L1218"/>
  <c r="M1216"/>
  <c r="L1216"/>
  <c r="M1213"/>
  <c r="L1213"/>
  <c r="M1209"/>
  <c r="L1209"/>
  <c r="M1206"/>
  <c r="L1206"/>
  <c r="M1198"/>
  <c r="L1198"/>
  <c r="M1194"/>
  <c r="L1194"/>
  <c r="M1190"/>
  <c r="L1190"/>
  <c r="M1185"/>
  <c r="L1185"/>
  <c r="M1181"/>
  <c r="L1181"/>
  <c r="M1177"/>
  <c r="L1177"/>
  <c r="M1172"/>
  <c r="L1172"/>
  <c r="M1171"/>
  <c r="L1171"/>
  <c r="L1166"/>
  <c r="L1164"/>
  <c r="M1160"/>
  <c r="L1160"/>
  <c r="M1157"/>
  <c r="L1157"/>
  <c r="M1154"/>
  <c r="L1154"/>
  <c r="L1152"/>
  <c r="M1151"/>
  <c r="L1151"/>
  <c r="M1149"/>
  <c r="L1149"/>
  <c r="M1145"/>
  <c r="L1145"/>
  <c r="M1143"/>
  <c r="L1143"/>
  <c r="M1141"/>
  <c r="L1141"/>
  <c r="M1136"/>
  <c r="L1136"/>
  <c r="M1130"/>
  <c r="L1130"/>
  <c r="M1129"/>
  <c r="L1129"/>
  <c r="L1126"/>
  <c r="L1122"/>
  <c r="M1120"/>
  <c r="L1120"/>
  <c r="L1118"/>
  <c r="M1115"/>
  <c r="L1115"/>
  <c r="M1112"/>
  <c r="L1112"/>
  <c r="M1110"/>
  <c r="L1110"/>
  <c r="M1107"/>
  <c r="L1107"/>
  <c r="M1106"/>
  <c r="L1106"/>
  <c r="M1104"/>
  <c r="L1104"/>
  <c r="L1101"/>
  <c r="M1098"/>
  <c r="L1098"/>
  <c r="M1095"/>
  <c r="L1095"/>
  <c r="L1093"/>
  <c r="L1091"/>
  <c r="M1087"/>
  <c r="L1087"/>
  <c r="M1084"/>
  <c r="L1084"/>
  <c r="M1083"/>
  <c r="L1083"/>
  <c r="L1080"/>
  <c r="M1073"/>
  <c r="L1073"/>
  <c r="M1067"/>
  <c r="L1067"/>
  <c r="M1063"/>
  <c r="L1063"/>
  <c r="M1057"/>
  <c r="L1057"/>
  <c r="M1056"/>
  <c r="L1056"/>
  <c r="M1050"/>
  <c r="L1050"/>
  <c r="M1047"/>
  <c r="L1047"/>
  <c r="M1041"/>
  <c r="L1041"/>
  <c r="M1040"/>
  <c r="L1040"/>
  <c r="M1036"/>
  <c r="L1036"/>
  <c r="M1033"/>
  <c r="L1033"/>
  <c r="M1026"/>
  <c r="L1026"/>
  <c r="M1023"/>
  <c r="L1023"/>
  <c r="M1017"/>
  <c r="L1017"/>
  <c r="M1015"/>
  <c r="L1015"/>
  <c r="M1011"/>
  <c r="L1011"/>
  <c r="M1008"/>
  <c r="L1008"/>
  <c r="M1005"/>
  <c r="L1005"/>
  <c r="M1002"/>
  <c r="L1002"/>
  <c r="M998"/>
  <c r="L998"/>
  <c r="M994"/>
  <c r="L994"/>
  <c r="M990"/>
  <c r="L990"/>
  <c r="M986"/>
  <c r="L986"/>
  <c r="L983"/>
  <c r="M980"/>
  <c r="L980"/>
  <c r="L977"/>
  <c r="M971"/>
  <c r="L971"/>
  <c r="M964"/>
  <c r="L964"/>
  <c r="M963"/>
  <c r="L963"/>
  <c r="M953"/>
  <c r="L953"/>
  <c r="M952"/>
  <c r="L952"/>
  <c r="M946"/>
  <c r="L946"/>
  <c r="M942"/>
  <c r="L942"/>
  <c r="M941"/>
  <c r="L941"/>
  <c r="M940"/>
  <c r="L940"/>
  <c r="M931"/>
  <c r="L931"/>
  <c r="M924"/>
  <c r="L924"/>
  <c r="M916"/>
  <c r="L916"/>
  <c r="M912"/>
  <c r="L912"/>
  <c r="M909"/>
  <c r="L909"/>
  <c r="M905"/>
  <c r="L905"/>
  <c r="M903"/>
  <c r="L903"/>
  <c r="M900"/>
  <c r="L900"/>
  <c r="M895"/>
  <c r="L895"/>
  <c r="M890"/>
  <c r="L890"/>
  <c r="L882"/>
  <c r="M880"/>
  <c r="L880"/>
  <c r="M878"/>
  <c r="L878"/>
  <c r="M873"/>
  <c r="L873"/>
  <c r="M871"/>
  <c r="L871"/>
  <c r="M864"/>
  <c r="L864"/>
  <c r="M862"/>
  <c r="L862"/>
  <c r="L858"/>
  <c r="M854"/>
  <c r="L854"/>
  <c r="M851"/>
  <c r="L851"/>
  <c r="M849"/>
  <c r="L849"/>
  <c r="M848"/>
  <c r="L848"/>
  <c r="M846"/>
  <c r="L846"/>
  <c r="M836"/>
  <c r="L836"/>
  <c r="M833"/>
  <c r="L833"/>
  <c r="M830"/>
  <c r="L830"/>
  <c r="M827"/>
  <c r="L827"/>
  <c r="M824"/>
  <c r="L824"/>
  <c r="L820"/>
  <c r="L818"/>
  <c r="L809"/>
  <c r="L807"/>
  <c r="L799"/>
  <c r="M795"/>
  <c r="L795"/>
  <c r="M790"/>
  <c r="L790"/>
  <c r="M786"/>
  <c r="L786"/>
  <c r="M783"/>
  <c r="L783"/>
  <c r="M780"/>
  <c r="L780"/>
  <c r="M773"/>
  <c r="L773"/>
  <c r="M766"/>
  <c r="L766"/>
  <c r="M763"/>
  <c r="L763"/>
  <c r="M760"/>
  <c r="L760"/>
  <c r="M753"/>
  <c r="L753"/>
  <c r="M745"/>
  <c r="L745"/>
  <c r="M741"/>
  <c r="L741"/>
  <c r="L739"/>
  <c r="M735"/>
  <c r="L735"/>
  <c r="M730"/>
  <c r="L730"/>
  <c r="M725"/>
  <c r="L725"/>
  <c r="M720"/>
  <c r="L720"/>
  <c r="M718"/>
  <c r="L718"/>
  <c r="M713"/>
  <c r="L713"/>
  <c r="M712"/>
  <c r="L712"/>
  <c r="M710"/>
  <c r="L710"/>
  <c r="M708"/>
  <c r="L708"/>
  <c r="M703"/>
  <c r="L703"/>
  <c r="M697"/>
  <c r="L697"/>
  <c r="M694"/>
  <c r="L694"/>
  <c r="M691"/>
  <c r="L691"/>
  <c r="M687"/>
  <c r="L687"/>
  <c r="M686"/>
  <c r="L686"/>
  <c r="M684"/>
  <c r="L684"/>
  <c r="M681"/>
  <c r="L681"/>
  <c r="M680"/>
  <c r="L680"/>
  <c r="M678"/>
  <c r="L678"/>
  <c r="M677"/>
  <c r="L677"/>
  <c r="M672"/>
  <c r="L672"/>
  <c r="M668"/>
  <c r="L668"/>
  <c r="M665"/>
  <c r="M661"/>
  <c r="L661"/>
  <c r="M659"/>
  <c r="L659"/>
  <c r="M653"/>
  <c r="L653"/>
  <c r="M650"/>
  <c r="L650"/>
  <c r="M646"/>
  <c r="L646"/>
  <c r="M643"/>
  <c r="L643"/>
  <c r="M640"/>
  <c r="L640"/>
  <c r="M634"/>
  <c r="L634"/>
  <c r="M628"/>
  <c r="L628"/>
  <c r="M627"/>
  <c r="L627"/>
  <c r="L621"/>
  <c r="M618"/>
  <c r="L618"/>
  <c r="M612"/>
  <c r="L612"/>
  <c r="M611"/>
  <c r="L611"/>
  <c r="M606"/>
  <c r="L606"/>
  <c r="M602"/>
  <c r="L602"/>
  <c r="M600"/>
  <c r="L600"/>
  <c r="L597"/>
  <c r="M594"/>
  <c r="L594"/>
  <c r="M591"/>
  <c r="L591"/>
  <c r="M589"/>
  <c r="L589"/>
  <c r="M582"/>
  <c r="L582"/>
  <c r="L575"/>
  <c r="M572"/>
  <c r="L572"/>
  <c r="L569"/>
  <c r="M563"/>
  <c r="L563"/>
  <c r="M558"/>
  <c r="L558"/>
  <c r="M554"/>
  <c r="L554"/>
  <c r="L548"/>
  <c r="L543"/>
  <c r="M540"/>
  <c r="L540"/>
  <c r="M536"/>
  <c r="L536"/>
  <c r="M533"/>
  <c r="L533"/>
  <c r="M532"/>
  <c r="L532"/>
  <c r="M529"/>
  <c r="L529"/>
  <c r="M528"/>
  <c r="L528"/>
  <c r="M525"/>
  <c r="L525"/>
  <c r="M517"/>
  <c r="L517"/>
  <c r="M513"/>
  <c r="L513"/>
  <c r="M507"/>
  <c r="L507"/>
  <c r="M503"/>
  <c r="L503"/>
  <c r="M494"/>
  <c r="L494"/>
  <c r="M488"/>
  <c r="L488"/>
  <c r="L483"/>
  <c r="L479"/>
  <c r="L476"/>
  <c r="M473"/>
  <c r="L473"/>
  <c r="M468"/>
  <c r="L468"/>
  <c r="M460"/>
  <c r="L460"/>
  <c r="M453"/>
  <c r="L453"/>
  <c r="M447"/>
  <c r="L447"/>
  <c r="M445"/>
  <c r="L445"/>
  <c r="L438"/>
  <c r="M435"/>
  <c r="L435"/>
  <c r="L432"/>
  <c r="M429"/>
  <c r="L429"/>
  <c r="M425"/>
  <c r="L425"/>
  <c r="M422"/>
  <c r="L422"/>
  <c r="L418"/>
  <c r="M415"/>
  <c r="L415"/>
  <c r="M412"/>
  <c r="L412"/>
  <c r="M410"/>
  <c r="L410"/>
  <c r="L404"/>
  <c r="M401"/>
  <c r="L401"/>
  <c r="M398"/>
  <c r="L398"/>
  <c r="M391"/>
  <c r="L391"/>
  <c r="M389"/>
  <c r="L389"/>
  <c r="M387"/>
  <c r="L387"/>
  <c r="M376"/>
  <c r="L376"/>
  <c r="M368"/>
  <c r="L368"/>
  <c r="M363"/>
  <c r="L363"/>
  <c r="M358"/>
  <c r="L358"/>
  <c r="M354"/>
  <c r="L354"/>
  <c r="M350"/>
  <c r="L350"/>
  <c r="M347"/>
  <c r="L347"/>
  <c r="M344"/>
  <c r="L344"/>
  <c r="M341"/>
  <c r="L341"/>
  <c r="M338"/>
  <c r="L338"/>
  <c r="M335"/>
  <c r="L335"/>
  <c r="M331"/>
  <c r="L331"/>
  <c r="M328"/>
  <c r="L328"/>
  <c r="L325"/>
  <c r="L319"/>
  <c r="M315"/>
  <c r="L315"/>
  <c r="M312"/>
  <c r="L312"/>
  <c r="M309"/>
  <c r="L309"/>
  <c r="M306"/>
  <c r="L306"/>
  <c r="M303"/>
  <c r="L303"/>
  <c r="M300"/>
  <c r="L300"/>
  <c r="M296"/>
  <c r="L296"/>
  <c r="M294"/>
  <c r="L294"/>
  <c r="L289"/>
  <c r="M286"/>
  <c r="L286"/>
  <c r="M283"/>
  <c r="L283"/>
  <c r="M280"/>
  <c r="L280"/>
  <c r="M270"/>
  <c r="L270"/>
  <c r="L263"/>
  <c r="M257"/>
  <c r="L257"/>
  <c r="L253"/>
  <c r="M247"/>
  <c r="L247"/>
  <c r="M245"/>
  <c r="L245"/>
  <c r="M239"/>
  <c r="L239"/>
  <c r="M231"/>
  <c r="L231"/>
  <c r="L222"/>
  <c r="M219"/>
  <c r="L219"/>
  <c r="M216"/>
  <c r="L216"/>
  <c r="M208"/>
  <c r="L208"/>
  <c r="M200"/>
  <c r="L200"/>
  <c r="M196"/>
  <c r="L196"/>
  <c r="M185"/>
  <c r="L185"/>
  <c r="M183"/>
  <c r="L183"/>
  <c r="M179"/>
  <c r="L179"/>
  <c r="M177"/>
  <c r="L177"/>
  <c r="M174"/>
  <c r="L174"/>
  <c r="L171"/>
  <c r="M169"/>
  <c r="L169"/>
  <c r="M162"/>
  <c r="L162"/>
  <c r="L159"/>
  <c r="M153"/>
  <c r="L153"/>
  <c r="M150"/>
  <c r="L150"/>
  <c r="M147"/>
  <c r="L147"/>
  <c r="M143"/>
  <c r="L143"/>
  <c r="M139"/>
  <c r="L139"/>
  <c r="M136"/>
  <c r="L136"/>
  <c r="M133"/>
  <c r="L133"/>
  <c r="M130"/>
  <c r="L130"/>
  <c r="M124"/>
  <c r="L124"/>
  <c r="M120"/>
  <c r="L120"/>
  <c r="M117"/>
  <c r="L117"/>
  <c r="M109"/>
  <c r="L109"/>
  <c r="M106"/>
  <c r="L106"/>
  <c r="M100"/>
  <c r="L100"/>
  <c r="M97"/>
  <c r="L97"/>
  <c r="M92"/>
  <c r="L92"/>
  <c r="L88"/>
  <c r="L85"/>
  <c r="M77"/>
  <c r="L77"/>
  <c r="M74"/>
  <c r="L74"/>
  <c r="M68"/>
  <c r="L68"/>
  <c r="M64"/>
  <c r="L64"/>
  <c r="M62"/>
  <c r="L62"/>
  <c r="M57"/>
  <c r="L57"/>
  <c r="M55"/>
  <c r="L55"/>
  <c r="M53"/>
  <c r="L53"/>
  <c r="L47"/>
  <c r="L44"/>
  <c r="M38"/>
  <c r="L38"/>
  <c r="K193"/>
  <c r="H61" i="3"/>
  <c r="K442" i="1"/>
  <c r="K1747"/>
  <c r="K2332"/>
  <c r="K2565"/>
  <c r="K2961"/>
  <c r="K2975"/>
  <c r="K2945"/>
  <c r="K2937"/>
  <c r="K2930"/>
  <c r="K2921"/>
  <c r="K2917"/>
  <c r="K2893"/>
  <c r="K2890"/>
  <c r="K2874"/>
  <c r="K2858"/>
  <c r="K2821"/>
  <c r="K2812"/>
  <c r="K2808"/>
  <c r="K2806"/>
  <c r="K2769"/>
  <c r="K2765"/>
  <c r="K2733"/>
  <c r="K2717"/>
  <c r="K2696"/>
  <c r="K2687"/>
  <c r="K2683"/>
  <c r="K2657"/>
  <c r="K2648"/>
  <c r="K2643"/>
  <c r="K2561"/>
  <c r="K2556"/>
  <c r="K2549"/>
  <c r="K2527"/>
  <c r="K2464"/>
  <c r="K2456"/>
  <c r="K2450"/>
  <c r="K2431"/>
  <c r="K2336"/>
  <c r="M2336" s="1"/>
  <c r="K2306"/>
  <c r="K2303"/>
  <c r="K2299"/>
  <c r="K2277"/>
  <c r="K2266"/>
  <c r="K2264"/>
  <c r="K2258"/>
  <c r="K2246"/>
  <c r="L2246" s="1"/>
  <c r="K2241"/>
  <c r="K2045"/>
  <c r="K2030"/>
  <c r="K2022"/>
  <c r="K2012"/>
  <c r="K1914"/>
  <c r="K1911"/>
  <c r="K1910"/>
  <c r="K1904"/>
  <c r="K1882"/>
  <c r="K1878"/>
  <c r="K1858"/>
  <c r="K1853"/>
  <c r="K1846"/>
  <c r="K1840"/>
  <c r="K1833"/>
  <c r="K1743"/>
  <c r="K1614"/>
  <c r="K1615"/>
  <c r="K1618"/>
  <c r="K1626"/>
  <c r="K1629"/>
  <c r="K1632"/>
  <c r="K1631" s="1"/>
  <c r="K1637"/>
  <c r="K1640"/>
  <c r="K1642"/>
  <c r="K1643"/>
  <c r="K1646"/>
  <c r="K1650"/>
  <c r="K1649" s="1"/>
  <c r="K1648" s="1"/>
  <c r="K1655"/>
  <c r="K1656"/>
  <c r="K1658"/>
  <c r="K1661"/>
  <c r="K1664"/>
  <c r="K1670"/>
  <c r="K1669" s="1"/>
  <c r="K1673"/>
  <c r="K1676"/>
  <c r="K1677"/>
  <c r="K1680"/>
  <c r="K1679" s="1"/>
  <c r="K1684"/>
  <c r="K1687"/>
  <c r="K1692"/>
  <c r="K1693"/>
  <c r="K1695"/>
  <c r="K1696"/>
  <c r="K1699"/>
  <c r="K1701"/>
  <c r="K1704"/>
  <c r="K1708"/>
  <c r="K1710"/>
  <c r="K1714"/>
  <c r="K1718"/>
  <c r="K1722"/>
  <c r="K1724"/>
  <c r="K1727"/>
  <c r="K1515"/>
  <c r="L1515" s="1"/>
  <c r="K1509"/>
  <c r="K1460"/>
  <c r="M1460" s="1"/>
  <c r="K1452"/>
  <c r="K1146"/>
  <c r="L1146" s="1"/>
  <c r="K1139"/>
  <c r="K1134"/>
  <c r="K1077"/>
  <c r="K1076"/>
  <c r="K1030"/>
  <c r="K1029"/>
  <c r="K929"/>
  <c r="K876"/>
  <c r="K869"/>
  <c r="K840"/>
  <c r="K839"/>
  <c r="K728"/>
  <c r="K716"/>
  <c r="K722"/>
  <c r="K706"/>
  <c r="K701"/>
  <c r="K675"/>
  <c r="L675" s="1"/>
  <c r="K663"/>
  <c r="K657"/>
  <c r="K490"/>
  <c r="K486"/>
  <c r="K458"/>
  <c r="K455"/>
  <c r="K451"/>
  <c r="K448"/>
  <c r="K443"/>
  <c r="K392"/>
  <c r="K385"/>
  <c r="K272"/>
  <c r="K268"/>
  <c r="K243"/>
  <c r="K60"/>
  <c r="K69"/>
  <c r="K51"/>
  <c r="M26"/>
  <c r="M675" l="1"/>
  <c r="M1515"/>
  <c r="K1683"/>
  <c r="K1717"/>
  <c r="K1654"/>
  <c r="K1636"/>
  <c r="L2945"/>
  <c r="L193"/>
  <c r="M193"/>
  <c r="K1721"/>
  <c r="K1697"/>
  <c r="K1645"/>
  <c r="M2648"/>
  <c r="L2648"/>
  <c r="K1691"/>
  <c r="K1628"/>
  <c r="K1700"/>
  <c r="K1686"/>
  <c r="K1682" s="1"/>
  <c r="M1840"/>
  <c r="K1703"/>
  <c r="K1672"/>
  <c r="L2336"/>
  <c r="K1726"/>
  <c r="L2687"/>
  <c r="K1660"/>
  <c r="K1639"/>
  <c r="K1635" s="1"/>
  <c r="K1713"/>
  <c r="K1617"/>
  <c r="M1747"/>
  <c r="K1663"/>
  <c r="K1625"/>
  <c r="M2266"/>
  <c r="M2246"/>
  <c r="K1707"/>
  <c r="K1690"/>
  <c r="K1675"/>
  <c r="H2153" i="2"/>
  <c r="H2152" s="1"/>
  <c r="H2151" s="1"/>
  <c r="H2150" s="1"/>
  <c r="H2148"/>
  <c r="H2147" s="1"/>
  <c r="H2146" s="1"/>
  <c r="H2145" s="1"/>
  <c r="H2143"/>
  <c r="H2142"/>
  <c r="H2138"/>
  <c r="H2137"/>
  <c r="H2131"/>
  <c r="H2130" s="1"/>
  <c r="H2129" s="1"/>
  <c r="H2128"/>
  <c r="H2127" s="1"/>
  <c r="H2126"/>
  <c r="H2125" s="1"/>
  <c r="H2121"/>
  <c r="H2120" s="1"/>
  <c r="H2119"/>
  <c r="H2118"/>
  <c r="H2117"/>
  <c r="H2115"/>
  <c r="H2114" s="1"/>
  <c r="H2113"/>
  <c r="H2112"/>
  <c r="H2110"/>
  <c r="H2109" s="1"/>
  <c r="H2108"/>
  <c r="H2107"/>
  <c r="H2102"/>
  <c r="H2101" s="1"/>
  <c r="H2100"/>
  <c r="H2099" s="1"/>
  <c r="H2096"/>
  <c r="H2095" s="1"/>
  <c r="H2094"/>
  <c r="H2093" s="1"/>
  <c r="H2088"/>
  <c r="H2087" s="1"/>
  <c r="H2086"/>
  <c r="H2085" s="1"/>
  <c r="H2084"/>
  <c r="H2083" s="1"/>
  <c r="H2079"/>
  <c r="H2078"/>
  <c r="H2076"/>
  <c r="H2075" s="1"/>
  <c r="H2074"/>
  <c r="H2073" s="1"/>
  <c r="H2069"/>
  <c r="H2068" s="1"/>
  <c r="H2067"/>
  <c r="H2066" s="1"/>
  <c r="H2065"/>
  <c r="H2064" s="1"/>
  <c r="H2060"/>
  <c r="H2059" s="1"/>
  <c r="H2058" s="1"/>
  <c r="H2057" s="1"/>
  <c r="H2055"/>
  <c r="H2054" s="1"/>
  <c r="H2053" s="1"/>
  <c r="H2052" s="1"/>
  <c r="H2050"/>
  <c r="H2049" s="1"/>
  <c r="H2048" s="1"/>
  <c r="H2047" s="1"/>
  <c r="H2044"/>
  <c r="H2043" s="1"/>
  <c r="H2042" s="1"/>
  <c r="H2041"/>
  <c r="H2040"/>
  <c r="H2038"/>
  <c r="H2037" s="1"/>
  <c r="H2036"/>
  <c r="H2035" s="1"/>
  <c r="H2031"/>
  <c r="H2030" s="1"/>
  <c r="H2029" s="1"/>
  <c r="H2028" s="1"/>
  <c r="H2026"/>
  <c r="H2025" s="1"/>
  <c r="H2024" s="1"/>
  <c r="H2023" s="1"/>
  <c r="H2020"/>
  <c r="H2019" s="1"/>
  <c r="H2018" s="1"/>
  <c r="H2017" s="1"/>
  <c r="H2015"/>
  <c r="H2014" s="1"/>
  <c r="H2013" s="1"/>
  <c r="H2012" s="1"/>
  <c r="H2007"/>
  <c r="H2006" s="1"/>
  <c r="H2005" s="1"/>
  <c r="H2004" s="1"/>
  <c r="H2002"/>
  <c r="H2001" s="1"/>
  <c r="H2000" s="1"/>
  <c r="H1999"/>
  <c r="H1998" s="1"/>
  <c r="H1997" s="1"/>
  <c r="H1994"/>
  <c r="H1993" s="1"/>
  <c r="H1992"/>
  <c r="H1991" s="1"/>
  <c r="H1989"/>
  <c r="H1988" s="1"/>
  <c r="H1987" s="1"/>
  <c r="H1986"/>
  <c r="H1985" s="1"/>
  <c r="H1984" s="1"/>
  <c r="H1981"/>
  <c r="H1980" s="1"/>
  <c r="H1979" s="1"/>
  <c r="H1978"/>
  <c r="H1977" s="1"/>
  <c r="H1976"/>
  <c r="H1975" s="1"/>
  <c r="H1974"/>
  <c r="H1973" s="1"/>
  <c r="H1971"/>
  <c r="H1970" s="1"/>
  <c r="H1969" s="1"/>
  <c r="H1968"/>
  <c r="H1967"/>
  <c r="H1960"/>
  <c r="H1959" s="1"/>
  <c r="H1958" s="1"/>
  <c r="H1957"/>
  <c r="H1956" s="1"/>
  <c r="H1955" s="1"/>
  <c r="H1954"/>
  <c r="H1953" s="1"/>
  <c r="H1952"/>
  <c r="H1951" s="1"/>
  <c r="H1949"/>
  <c r="H1948" s="1"/>
  <c r="H1947" s="1"/>
  <c r="H1946"/>
  <c r="H1945" s="1"/>
  <c r="H1944" s="1"/>
  <c r="H1943"/>
  <c r="H1942" s="1"/>
  <c r="H1941"/>
  <c r="H1940" s="1"/>
  <c r="H1936"/>
  <c r="H1935" s="1"/>
  <c r="H1934"/>
  <c r="H1933" s="1"/>
  <c r="H1926"/>
  <c r="H1925" s="1"/>
  <c r="H1924" s="1"/>
  <c r="H1923"/>
  <c r="H1922" s="1"/>
  <c r="H1921" s="1"/>
  <c r="H1920"/>
  <c r="H1919" s="1"/>
  <c r="H1918" s="1"/>
  <c r="H1917"/>
  <c r="H1916" s="1"/>
  <c r="H1915" s="1"/>
  <c r="H1914"/>
  <c r="H1913" s="1"/>
  <c r="H1912" s="1"/>
  <c r="H1909"/>
  <c r="H1908" s="1"/>
  <c r="H1907" s="1"/>
  <c r="H1906"/>
  <c r="H1905"/>
  <c r="H1903"/>
  <c r="H1902" s="1"/>
  <c r="H1901"/>
  <c r="H1900" s="1"/>
  <c r="H1899"/>
  <c r="H1898" s="1"/>
  <c r="H1896"/>
  <c r="H1895" s="1"/>
  <c r="H1894"/>
  <c r="H1893" s="1"/>
  <c r="H1891"/>
  <c r="H1890" s="1"/>
  <c r="H1889"/>
  <c r="H1888" s="1"/>
  <c r="H1887"/>
  <c r="H1886" s="1"/>
  <c r="H1885"/>
  <c r="H1884" s="1"/>
  <c r="H1882"/>
  <c r="H1881" s="1"/>
  <c r="H1880"/>
  <c r="H1877" s="1"/>
  <c r="H1879"/>
  <c r="H1878" s="1"/>
  <c r="H1876"/>
  <c r="H1875" s="1"/>
  <c r="H1871"/>
  <c r="H1870" s="1"/>
  <c r="H1869" s="1"/>
  <c r="H1868"/>
  <c r="H1867" s="1"/>
  <c r="H1866" s="1"/>
  <c r="H1865"/>
  <c r="H1864" s="1"/>
  <c r="H1863"/>
  <c r="H1862" s="1"/>
  <c r="H1861"/>
  <c r="H1860" s="1"/>
  <c r="H1856"/>
  <c r="H1855" s="1"/>
  <c r="H1854" s="1"/>
  <c r="H1853"/>
  <c r="H1852" s="1"/>
  <c r="H1851" s="1"/>
  <c r="H1848"/>
  <c r="H1847" s="1"/>
  <c r="H1846"/>
  <c r="H1845" s="1"/>
  <c r="H1843"/>
  <c r="H1842" s="1"/>
  <c r="H1841" s="1"/>
  <c r="H1838"/>
  <c r="H1837" s="1"/>
  <c r="H1836"/>
  <c r="H1835" s="1"/>
  <c r="H1833"/>
  <c r="H1832" s="1"/>
  <c r="H1831" s="1"/>
  <c r="H1827"/>
  <c r="H1826"/>
  <c r="H1824"/>
  <c r="H1823" s="1"/>
  <c r="H1822"/>
  <c r="H1821" s="1"/>
  <c r="H1817"/>
  <c r="H1816" s="1"/>
  <c r="H1815" s="1"/>
  <c r="H1814"/>
  <c r="H1813" s="1"/>
  <c r="H1812" s="1"/>
  <c r="H1811"/>
  <c r="H1810" s="1"/>
  <c r="H1809" s="1"/>
  <c r="H1808"/>
  <c r="H1807"/>
  <c r="H1804"/>
  <c r="H1803" s="1"/>
  <c r="H1802" s="1"/>
  <c r="H1799"/>
  <c r="H1798"/>
  <c r="H1797"/>
  <c r="H1796"/>
  <c r="H1795"/>
  <c r="H1794" s="1"/>
  <c r="H1793" s="1"/>
  <c r="H1792" s="1"/>
  <c r="H1790"/>
  <c r="H1789" s="1"/>
  <c r="H1788" s="1"/>
  <c r="H1787"/>
  <c r="H1786" s="1"/>
  <c r="H1785" s="1"/>
  <c r="H1784"/>
  <c r="H1783" s="1"/>
  <c r="H1782" s="1"/>
  <c r="H1781"/>
  <c r="H1780" s="1"/>
  <c r="H1779" s="1"/>
  <c r="H1778"/>
  <c r="H1775" s="1"/>
  <c r="H1777"/>
  <c r="H1776"/>
  <c r="H1774"/>
  <c r="H1773" s="1"/>
  <c r="H1771"/>
  <c r="H1770" s="1"/>
  <c r="H1769"/>
  <c r="H1768" s="1"/>
  <c r="H1767"/>
  <c r="H1766" s="1"/>
  <c r="H1765"/>
  <c r="H1764" s="1"/>
  <c r="H1762"/>
  <c r="H1759"/>
  <c r="H1758" s="1"/>
  <c r="H1757" s="1"/>
  <c r="H1753"/>
  <c r="H1752" s="1"/>
  <c r="H1751" s="1"/>
  <c r="H1750"/>
  <c r="H1749"/>
  <c r="H1747"/>
  <c r="H1746" s="1"/>
  <c r="H1745"/>
  <c r="H1744" s="1"/>
  <c r="H1740"/>
  <c r="H1739" s="1"/>
  <c r="H1738" s="1"/>
  <c r="H1737"/>
  <c r="H1736" s="1"/>
  <c r="H1735" s="1"/>
  <c r="H1734"/>
  <c r="H1733" s="1"/>
  <c r="H1732"/>
  <c r="H1731" s="1"/>
  <c r="H1729"/>
  <c r="H1728" s="1"/>
  <c r="H1727" s="1"/>
  <c r="H1726"/>
  <c r="H1725" s="1"/>
  <c r="H1724" s="1"/>
  <c r="H1723"/>
  <c r="H1722" s="1"/>
  <c r="H1721"/>
  <c r="H1720" s="1"/>
  <c r="H1719"/>
  <c r="H1718" s="1"/>
  <c r="H1717"/>
  <c r="H1716" s="1"/>
  <c r="H1714"/>
  <c r="H1713" s="1"/>
  <c r="H1712"/>
  <c r="H1711" s="1"/>
  <c r="H1709"/>
  <c r="H1708" s="1"/>
  <c r="H1707" s="1"/>
  <c r="H1704"/>
  <c r="H1703" s="1"/>
  <c r="H1702"/>
  <c r="H1701" s="1"/>
  <c r="H1697"/>
  <c r="H1696" s="1"/>
  <c r="H1695" s="1"/>
  <c r="H1694"/>
  <c r="H1693" s="1"/>
  <c r="H1692" s="1"/>
  <c r="H1691"/>
  <c r="H1690" s="1"/>
  <c r="H1689" s="1"/>
  <c r="H1688"/>
  <c r="H1686" s="1"/>
  <c r="H1687"/>
  <c r="H1685"/>
  <c r="H1684" s="1"/>
  <c r="H1683"/>
  <c r="H1682" s="1"/>
  <c r="H1681"/>
  <c r="H1680" s="1"/>
  <c r="H1678"/>
  <c r="H1677" s="1"/>
  <c r="H1676" s="1"/>
  <c r="H1675"/>
  <c r="H1674" s="1"/>
  <c r="H1673"/>
  <c r="H1672" s="1"/>
  <c r="H1671"/>
  <c r="H1670" s="1"/>
  <c r="H1669"/>
  <c r="H1668" s="1"/>
  <c r="H1664"/>
  <c r="H1663" s="1"/>
  <c r="H1662" s="1"/>
  <c r="H1661"/>
  <c r="H1656"/>
  <c r="H1655" s="1"/>
  <c r="H1654" s="1"/>
  <c r="H1653"/>
  <c r="H1652" s="1"/>
  <c r="H1651" s="1"/>
  <c r="H1648"/>
  <c r="H1645"/>
  <c r="H1640"/>
  <c r="H1639" s="1"/>
  <c r="H1638" s="1"/>
  <c r="H1637"/>
  <c r="H1636" s="1"/>
  <c r="H1635" s="1"/>
  <c r="H1634"/>
  <c r="H1633" s="1"/>
  <c r="H1632" s="1"/>
  <c r="H1631"/>
  <c r="H1630" s="1"/>
  <c r="H1629" s="1"/>
  <c r="H1625"/>
  <c r="H1624" s="1"/>
  <c r="H1623" s="1"/>
  <c r="H1622"/>
  <c r="H1621" s="1"/>
  <c r="H1620" s="1"/>
  <c r="H1617"/>
  <c r="H1616" s="1"/>
  <c r="H1615" s="1"/>
  <c r="H1614"/>
  <c r="H1613" s="1"/>
  <c r="H1612"/>
  <c r="H1611" s="1"/>
  <c r="H1610"/>
  <c r="H1609" s="1"/>
  <c r="H1605"/>
  <c r="H1604" s="1"/>
  <c r="H1603" s="1"/>
  <c r="H1602" s="1"/>
  <c r="H1600"/>
  <c r="H1599" s="1"/>
  <c r="H1598" s="1"/>
  <c r="H1597"/>
  <c r="H1596" s="1"/>
  <c r="H1595" s="1"/>
  <c r="H1594"/>
  <c r="H1593" s="1"/>
  <c r="H1592"/>
  <c r="H1591" s="1"/>
  <c r="H1586"/>
  <c r="H1585" s="1"/>
  <c r="H1584" s="1"/>
  <c r="H1583"/>
  <c r="H1582" s="1"/>
  <c r="H1581" s="1"/>
  <c r="H1580"/>
  <c r="H1579" s="1"/>
  <c r="H1578" s="1"/>
  <c r="H1577"/>
  <c r="H1576" s="1"/>
  <c r="H1575" s="1"/>
  <c r="H1574"/>
  <c r="H1573" s="1"/>
  <c r="H1572" s="1"/>
  <c r="H1571"/>
  <c r="H1570" s="1"/>
  <c r="H1569" s="1"/>
  <c r="H1568"/>
  <c r="H1567" s="1"/>
  <c r="H1566" s="1"/>
  <c r="H1565"/>
  <c r="H1564" s="1"/>
  <c r="H1563" s="1"/>
  <c r="H1562"/>
  <c r="H1561" s="1"/>
  <c r="H1560"/>
  <c r="H1559" s="1"/>
  <c r="H1558"/>
  <c r="H1557" s="1"/>
  <c r="H1556"/>
  <c r="H1555" s="1"/>
  <c r="H1553"/>
  <c r="H1552" s="1"/>
  <c r="H1551" s="1"/>
  <c r="H1550"/>
  <c r="H1549"/>
  <c r="H1547"/>
  <c r="H1546" s="1"/>
  <c r="H1545"/>
  <c r="H1544" s="1"/>
  <c r="H1543"/>
  <c r="H1542" s="1"/>
  <c r="H1539"/>
  <c r="H1538" s="1"/>
  <c r="H1535"/>
  <c r="H1532"/>
  <c r="H1531" s="1"/>
  <c r="H1530" s="1"/>
  <c r="H1529"/>
  <c r="H1526"/>
  <c r="H1525" s="1"/>
  <c r="H1524" s="1"/>
  <c r="H1520"/>
  <c r="H1519" s="1"/>
  <c r="H1518"/>
  <c r="H1517" s="1"/>
  <c r="H1515"/>
  <c r="H1514" s="1"/>
  <c r="H1513"/>
  <c r="H1512" s="1"/>
  <c r="H1511"/>
  <c r="H1510" s="1"/>
  <c r="H1508"/>
  <c r="H1507"/>
  <c r="H1505"/>
  <c r="H1504" s="1"/>
  <c r="H1503"/>
  <c r="H1502" s="1"/>
  <c r="H1501"/>
  <c r="H1500" s="1"/>
  <c r="H1498"/>
  <c r="H1497"/>
  <c r="H1495"/>
  <c r="H1494" s="1"/>
  <c r="H1493"/>
  <c r="H1492"/>
  <c r="H1487"/>
  <c r="H1486" s="1"/>
  <c r="H1485" s="1"/>
  <c r="H1484"/>
  <c r="H1483" s="1"/>
  <c r="H1482" s="1"/>
  <c r="H1481"/>
  <c r="H1480" s="1"/>
  <c r="H1479" s="1"/>
  <c r="H1478"/>
  <c r="H1477" s="1"/>
  <c r="H1476" s="1"/>
  <c r="H1473"/>
  <c r="H1472" s="1"/>
  <c r="H1471" s="1"/>
  <c r="H1470"/>
  <c r="H1469" s="1"/>
  <c r="H1468" s="1"/>
  <c r="H1465"/>
  <c r="H1464" s="1"/>
  <c r="H1463" s="1"/>
  <c r="H1462"/>
  <c r="H1461" s="1"/>
  <c r="H1460" s="1"/>
  <c r="H1459"/>
  <c r="H1458" s="1"/>
  <c r="H1457"/>
  <c r="H1456" s="1"/>
  <c r="H1448"/>
  <c r="H1447" s="1"/>
  <c r="H1446" s="1"/>
  <c r="H1443"/>
  <c r="H1442"/>
  <c r="H1440"/>
  <c r="H1439" s="1"/>
  <c r="H1438"/>
  <c r="H1437" s="1"/>
  <c r="H1433"/>
  <c r="H1432" s="1"/>
  <c r="H1431"/>
  <c r="H1430" s="1"/>
  <c r="H1429"/>
  <c r="H1428" s="1"/>
  <c r="H1426"/>
  <c r="H1425" s="1"/>
  <c r="H1424"/>
  <c r="H1423" s="1"/>
  <c r="H1422"/>
  <c r="H1421" s="1"/>
  <c r="H1417"/>
  <c r="H1416" s="1"/>
  <c r="H1415" s="1"/>
  <c r="H1414"/>
  <c r="H1413" s="1"/>
  <c r="H1412"/>
  <c r="H1411" s="1"/>
  <c r="H1410"/>
  <c r="H1409" s="1"/>
  <c r="H1405"/>
  <c r="H1404" s="1"/>
  <c r="H1403"/>
  <c r="H1402"/>
  <c r="H1400"/>
  <c r="H1399" s="1"/>
  <c r="H1397"/>
  <c r="H1396" s="1"/>
  <c r="H1395" s="1"/>
  <c r="H1394"/>
  <c r="H1393" s="1"/>
  <c r="H1392" s="1"/>
  <c r="H1391"/>
  <c r="H1390" s="1"/>
  <c r="H1389" s="1"/>
  <c r="H1388"/>
  <c r="H1387" s="1"/>
  <c r="H1386"/>
  <c r="H1385"/>
  <c r="H1383"/>
  <c r="H1382" s="1"/>
  <c r="H1378"/>
  <c r="H1377" s="1"/>
  <c r="H1376" s="1"/>
  <c r="H1375"/>
  <c r="H1374" s="1"/>
  <c r="H1373"/>
  <c r="H1372" s="1"/>
  <c r="H1371"/>
  <c r="H1370" s="1"/>
  <c r="H1365"/>
  <c r="H1364" s="1"/>
  <c r="H1363"/>
  <c r="H1362" s="1"/>
  <c r="H1361"/>
  <c r="H1360" s="1"/>
  <c r="H1356"/>
  <c r="H1355" s="1"/>
  <c r="H1354" s="1"/>
  <c r="H1353"/>
  <c r="H1352" s="1"/>
  <c r="H1351" s="1"/>
  <c r="H1350"/>
  <c r="H1349" s="1"/>
  <c r="H1348" s="1"/>
  <c r="H1347"/>
  <c r="H1346" s="1"/>
  <c r="H1345" s="1"/>
  <c r="H1342"/>
  <c r="H1341" s="1"/>
  <c r="H1340" s="1"/>
  <c r="H1339"/>
  <c r="H1338" s="1"/>
  <c r="H1337"/>
  <c r="H1336" s="1"/>
  <c r="H1334"/>
  <c r="H1333" s="1"/>
  <c r="H1332" s="1"/>
  <c r="H1329"/>
  <c r="H1328" s="1"/>
  <c r="H1327" s="1"/>
  <c r="H1326"/>
  <c r="H1325" s="1"/>
  <c r="H1324" s="1"/>
  <c r="H1323"/>
  <c r="H1322" s="1"/>
  <c r="H1321" s="1"/>
  <c r="H1320"/>
  <c r="H1319" s="1"/>
  <c r="H1318" s="1"/>
  <c r="H1317"/>
  <c r="H1316" s="1"/>
  <c r="H1315" s="1"/>
  <c r="H1314"/>
  <c r="H1313" s="1"/>
  <c r="H1312" s="1"/>
  <c r="H1311"/>
  <c r="H1310" s="1"/>
  <c r="H1309" s="1"/>
  <c r="H1308"/>
  <c r="H1307" s="1"/>
  <c r="H1306"/>
  <c r="H1305"/>
  <c r="H1304"/>
  <c r="H1302"/>
  <c r="H1301" s="1"/>
  <c r="H1299"/>
  <c r="H1298" s="1"/>
  <c r="H1297" s="1"/>
  <c r="H1296"/>
  <c r="H1295" s="1"/>
  <c r="H1294" s="1"/>
  <c r="H1293"/>
  <c r="H1292" s="1"/>
  <c r="H1291" s="1"/>
  <c r="H1290"/>
  <c r="H1287"/>
  <c r="H1284"/>
  <c r="H1283" s="1"/>
  <c r="H1282" s="1"/>
  <c r="H1281"/>
  <c r="H1280" s="1"/>
  <c r="H1279" s="1"/>
  <c r="H1275"/>
  <c r="H1274" s="1"/>
  <c r="H1273" s="1"/>
  <c r="H1272"/>
  <c r="H1271" s="1"/>
  <c r="H1270" s="1"/>
  <c r="H1269"/>
  <c r="H1266"/>
  <c r="H1263"/>
  <c r="H1260"/>
  <c r="H1259" s="1"/>
  <c r="H1258" s="1"/>
  <c r="H1255"/>
  <c r="H1254" s="1"/>
  <c r="H1253"/>
  <c r="H1252" s="1"/>
  <c r="H1251"/>
  <c r="H1250" s="1"/>
  <c r="H1248"/>
  <c r="H1247" s="1"/>
  <c r="H1246" s="1"/>
  <c r="H1243"/>
  <c r="H1242" s="1"/>
  <c r="H1241" s="1"/>
  <c r="H1240"/>
  <c r="H1239" s="1"/>
  <c r="H1238" s="1"/>
  <c r="H1237"/>
  <c r="H1236" s="1"/>
  <c r="H1235" s="1"/>
  <c r="H1231"/>
  <c r="H1230" s="1"/>
  <c r="H1229" s="1"/>
  <c r="H1228"/>
  <c r="H1227" s="1"/>
  <c r="H1226" s="1"/>
  <c r="H1223"/>
  <c r="H1222" s="1"/>
  <c r="H1221" s="1"/>
  <c r="H1220"/>
  <c r="H1219"/>
  <c r="H1217"/>
  <c r="H1216" s="1"/>
  <c r="H1215"/>
  <c r="H1214" s="1"/>
  <c r="H1210"/>
  <c r="H1209" s="1"/>
  <c r="H1208"/>
  <c r="H1207" s="1"/>
  <c r="H1206"/>
  <c r="H1205" s="1"/>
  <c r="H1203"/>
  <c r="H1202" s="1"/>
  <c r="H1201" s="1"/>
  <c r="H1200"/>
  <c r="H1199" s="1"/>
  <c r="H1198"/>
  <c r="H1197" s="1"/>
  <c r="H1196"/>
  <c r="H1195" s="1"/>
  <c r="H1194"/>
  <c r="H1193" s="1"/>
  <c r="H1192"/>
  <c r="H1191" s="1"/>
  <c r="H1187"/>
  <c r="H1186" s="1"/>
  <c r="H1185" s="1"/>
  <c r="H1184"/>
  <c r="H1183"/>
  <c r="H1181"/>
  <c r="H1180" s="1"/>
  <c r="H1179"/>
  <c r="H1178" s="1"/>
  <c r="H1177"/>
  <c r="H1176" s="1"/>
  <c r="H1171"/>
  <c r="H1170" s="1"/>
  <c r="H1166"/>
  <c r="H1165" s="1"/>
  <c r="H1164" s="1"/>
  <c r="H1163"/>
  <c r="H1162" s="1"/>
  <c r="H1161" s="1"/>
  <c r="H1160"/>
  <c r="H1159" s="1"/>
  <c r="H1158" s="1"/>
  <c r="H1157"/>
  <c r="H1156" s="1"/>
  <c r="H1155" s="1"/>
  <c r="H1154"/>
  <c r="H1153" s="1"/>
  <c r="H1152" s="1"/>
  <c r="H1149"/>
  <c r="H1148" s="1"/>
  <c r="H1147" s="1"/>
  <c r="H1146"/>
  <c r="H1145" s="1"/>
  <c r="H1144" s="1"/>
  <c r="H1143"/>
  <c r="H1142" s="1"/>
  <c r="H1141"/>
  <c r="H1140" s="1"/>
  <c r="H1135"/>
  <c r="H1134" s="1"/>
  <c r="H1133" s="1"/>
  <c r="H1132"/>
  <c r="H1131" s="1"/>
  <c r="H1130" s="1"/>
  <c r="H1127"/>
  <c r="H1124"/>
  <c r="H1119"/>
  <c r="H1118" s="1"/>
  <c r="H1117" s="1"/>
  <c r="H1116" s="1"/>
  <c r="H1114"/>
  <c r="H1113" s="1"/>
  <c r="H1112"/>
  <c r="H1111"/>
  <c r="H1109"/>
  <c r="H1108" s="1"/>
  <c r="H1106"/>
  <c r="H1105"/>
  <c r="H1103"/>
  <c r="H1101"/>
  <c r="H1100" s="1"/>
  <c r="H1099"/>
  <c r="H1098" s="1"/>
  <c r="H1096"/>
  <c r="H1095" s="1"/>
  <c r="H1094" s="1"/>
  <c r="H1093"/>
  <c r="H1092"/>
  <c r="H1090"/>
  <c r="H1089" s="1"/>
  <c r="H1088"/>
  <c r="H1087" s="1"/>
  <c r="H1086"/>
  <c r="H1085" s="1"/>
  <c r="H1083"/>
  <c r="H1082" s="1"/>
  <c r="H1081"/>
  <c r="H1080"/>
  <c r="H1078"/>
  <c r="H1077" s="1"/>
  <c r="H1072"/>
  <c r="H1071" s="1"/>
  <c r="H1070" s="1"/>
  <c r="H1069"/>
  <c r="H1068"/>
  <c r="H1066"/>
  <c r="H1065" s="1"/>
  <c r="H1064"/>
  <c r="H1062"/>
  <c r="H1061" s="1"/>
  <c r="H1060"/>
  <c r="H1059" s="1"/>
  <c r="H1057"/>
  <c r="H1056" s="1"/>
  <c r="H1055"/>
  <c r="H1054" s="1"/>
  <c r="H1053"/>
  <c r="H1052" s="1"/>
  <c r="H1051"/>
  <c r="H1050" s="1"/>
  <c r="H1046"/>
  <c r="H1045" s="1"/>
  <c r="H1044" s="1"/>
  <c r="H1043"/>
  <c r="H1042" s="1"/>
  <c r="H1041" s="1"/>
  <c r="H1040"/>
  <c r="H1039" s="1"/>
  <c r="H1038" s="1"/>
  <c r="H1035"/>
  <c r="H1034" s="1"/>
  <c r="H1033" s="1"/>
  <c r="H1032"/>
  <c r="H1031" s="1"/>
  <c r="H1030" s="1"/>
  <c r="H1029"/>
  <c r="H1028" s="1"/>
  <c r="H1027" s="1"/>
  <c r="H1026"/>
  <c r="H1023"/>
  <c r="H1022" s="1"/>
  <c r="H1021" s="1"/>
  <c r="H1020"/>
  <c r="H1019" s="1"/>
  <c r="H1018"/>
  <c r="H1017" s="1"/>
  <c r="H1012"/>
  <c r="H1009"/>
  <c r="H1004"/>
  <c r="H1003" s="1"/>
  <c r="H1002" s="1"/>
  <c r="H1001"/>
  <c r="H1000"/>
  <c r="H998"/>
  <c r="H997"/>
  <c r="H995"/>
  <c r="H994" s="1"/>
  <c r="H993"/>
  <c r="H992" s="1"/>
  <c r="H990"/>
  <c r="H989" s="1"/>
  <c r="H988" s="1"/>
  <c r="H985"/>
  <c r="H984" s="1"/>
  <c r="H983" s="1"/>
  <c r="H982"/>
  <c r="H981" s="1"/>
  <c r="H980" s="1"/>
  <c r="H979"/>
  <c r="H978" s="1"/>
  <c r="H977" s="1"/>
  <c r="H976"/>
  <c r="H971"/>
  <c r="H970" s="1"/>
  <c r="H969" s="1"/>
  <c r="H968"/>
  <c r="H967" s="1"/>
  <c r="H966" s="1"/>
  <c r="H965"/>
  <c r="H964" s="1"/>
  <c r="H963" s="1"/>
  <c r="H962"/>
  <c r="H961" s="1"/>
  <c r="H960" s="1"/>
  <c r="H959"/>
  <c r="H958" s="1"/>
  <c r="H957" s="1"/>
  <c r="H956"/>
  <c r="H955" s="1"/>
  <c r="H954" s="1"/>
  <c r="H953"/>
  <c r="H952" s="1"/>
  <c r="H951" s="1"/>
  <c r="H950"/>
  <c r="H947"/>
  <c r="H946" s="1"/>
  <c r="H945" s="1"/>
  <c r="H944"/>
  <c r="H943" s="1"/>
  <c r="H942" s="1"/>
  <c r="H941"/>
  <c r="H940" s="1"/>
  <c r="H939" s="1"/>
  <c r="H938"/>
  <c r="H937" s="1"/>
  <c r="H936" s="1"/>
  <c r="H935"/>
  <c r="H934" s="1"/>
  <c r="H933" s="1"/>
  <c r="H932"/>
  <c r="H931" s="1"/>
  <c r="H930" s="1"/>
  <c r="H929"/>
  <c r="H928" s="1"/>
  <c r="H927" s="1"/>
  <c r="H926"/>
  <c r="H925" s="1"/>
  <c r="H924" s="1"/>
  <c r="H923"/>
  <c r="H922" s="1"/>
  <c r="H921" s="1"/>
  <c r="H920"/>
  <c r="H919" s="1"/>
  <c r="H918" s="1"/>
  <c r="H917"/>
  <c r="H916" s="1"/>
  <c r="H915" s="1"/>
  <c r="H914"/>
  <c r="H913" s="1"/>
  <c r="H912" s="1"/>
  <c r="H911"/>
  <c r="H910" s="1"/>
  <c r="H909" s="1"/>
  <c r="H908"/>
  <c r="H907" s="1"/>
  <c r="H906" s="1"/>
  <c r="H905"/>
  <c r="H904" s="1"/>
  <c r="H903" s="1"/>
  <c r="H902"/>
  <c r="H901" s="1"/>
  <c r="H900" s="1"/>
  <c r="H899"/>
  <c r="H896"/>
  <c r="H895" s="1"/>
  <c r="H894" s="1"/>
  <c r="H893"/>
  <c r="H892" s="1"/>
  <c r="H891" s="1"/>
  <c r="H890"/>
  <c r="H889" s="1"/>
  <c r="H888" s="1"/>
  <c r="H887"/>
  <c r="H884"/>
  <c r="H883" s="1"/>
  <c r="H882" s="1"/>
  <c r="H881"/>
  <c r="H880" s="1"/>
  <c r="H879" s="1"/>
  <c r="H878"/>
  <c r="H877" s="1"/>
  <c r="H876" s="1"/>
  <c r="H875"/>
  <c r="H874" s="1"/>
  <c r="H873" s="1"/>
  <c r="H872"/>
  <c r="H871" s="1"/>
  <c r="H870"/>
  <c r="H869" s="1"/>
  <c r="H867"/>
  <c r="H866" s="1"/>
  <c r="H865" s="1"/>
  <c r="H864"/>
  <c r="H863" s="1"/>
  <c r="H862" s="1"/>
  <c r="H861"/>
  <c r="H860" s="1"/>
  <c r="H859" s="1"/>
  <c r="H858"/>
  <c r="H857" s="1"/>
  <c r="H856" s="1"/>
  <c r="H855"/>
  <c r="H854" s="1"/>
  <c r="H853" s="1"/>
  <c r="H852"/>
  <c r="H851" s="1"/>
  <c r="H850" s="1"/>
  <c r="H849"/>
  <c r="H848" s="1"/>
  <c r="H847" s="1"/>
  <c r="H846"/>
  <c r="H843"/>
  <c r="H842" s="1"/>
  <c r="H841" s="1"/>
  <c r="H840"/>
  <c r="H839" s="1"/>
  <c r="H838" s="1"/>
  <c r="H837"/>
  <c r="H836" s="1"/>
  <c r="H835" s="1"/>
  <c r="H834"/>
  <c r="H833" s="1"/>
  <c r="H832" s="1"/>
  <c r="H831"/>
  <c r="H830" s="1"/>
  <c r="H829" s="1"/>
  <c r="H828"/>
  <c r="H827" s="1"/>
  <c r="H826" s="1"/>
  <c r="H825"/>
  <c r="H824" s="1"/>
  <c r="H823" s="1"/>
  <c r="H822"/>
  <c r="H821" s="1"/>
  <c r="H820" s="1"/>
  <c r="H819"/>
  <c r="H818" s="1"/>
  <c r="H817" s="1"/>
  <c r="H816"/>
  <c r="H815" s="1"/>
  <c r="H814" s="1"/>
  <c r="H813"/>
  <c r="H812" s="1"/>
  <c r="H811" s="1"/>
  <c r="H810"/>
  <c r="H809" s="1"/>
  <c r="H808" s="1"/>
  <c r="H807"/>
  <c r="H806" s="1"/>
  <c r="H805" s="1"/>
  <c r="H804"/>
  <c r="H803" s="1"/>
  <c r="H802" s="1"/>
  <c r="H801"/>
  <c r="H800" s="1"/>
  <c r="H799" s="1"/>
  <c r="H798"/>
  <c r="H792"/>
  <c r="H791" s="1"/>
  <c r="H790"/>
  <c r="H789" s="1"/>
  <c r="H788"/>
  <c r="H787" s="1"/>
  <c r="H785"/>
  <c r="H782"/>
  <c r="H779"/>
  <c r="H778" s="1"/>
  <c r="H777" s="1"/>
  <c r="H776"/>
  <c r="H774"/>
  <c r="H773"/>
  <c r="H771"/>
  <c r="H770" s="1"/>
  <c r="H768"/>
  <c r="H767" s="1"/>
  <c r="H766" s="1"/>
  <c r="H765"/>
  <c r="H764" s="1"/>
  <c r="H763" s="1"/>
  <c r="H762"/>
  <c r="H761"/>
  <c r="H759"/>
  <c r="H756"/>
  <c r="H755" s="1"/>
  <c r="H754"/>
  <c r="H750"/>
  <c r="H749" s="1"/>
  <c r="H747"/>
  <c r="H746" s="1"/>
  <c r="H745"/>
  <c r="H744" s="1"/>
  <c r="H743"/>
  <c r="H742" s="1"/>
  <c r="H740"/>
  <c r="H739" s="1"/>
  <c r="H738" s="1"/>
  <c r="H737"/>
  <c r="H736" s="1"/>
  <c r="H735" s="1"/>
  <c r="H734"/>
  <c r="H733" s="1"/>
  <c r="H732" s="1"/>
  <c r="H731"/>
  <c r="H730" s="1"/>
  <c r="H729" s="1"/>
  <c r="H728"/>
  <c r="H725"/>
  <c r="H724" s="1"/>
  <c r="H723"/>
  <c r="H718"/>
  <c r="H717" s="1"/>
  <c r="H716" s="1"/>
  <c r="H715"/>
  <c r="H713" s="1"/>
  <c r="H712" s="1"/>
  <c r="H714"/>
  <c r="H711"/>
  <c r="H710" s="1"/>
  <c r="H709" s="1"/>
  <c r="H706"/>
  <c r="H705"/>
  <c r="H703"/>
  <c r="H701"/>
  <c r="H700" s="1"/>
  <c r="H698"/>
  <c r="H697" s="1"/>
  <c r="H696" s="1"/>
  <c r="H695"/>
  <c r="H694" s="1"/>
  <c r="H693" s="1"/>
  <c r="H692"/>
  <c r="H691" s="1"/>
  <c r="H690" s="1"/>
  <c r="H689"/>
  <c r="H688" s="1"/>
  <c r="H687" s="1"/>
  <c r="H686"/>
  <c r="H685"/>
  <c r="H683"/>
  <c r="H682" s="1"/>
  <c r="H680"/>
  <c r="H679"/>
  <c r="H677"/>
  <c r="H676" s="1"/>
  <c r="H675"/>
  <c r="H674" s="1"/>
  <c r="H670"/>
  <c r="H669"/>
  <c r="H666"/>
  <c r="H665" s="1"/>
  <c r="H664" s="1"/>
  <c r="H663"/>
  <c r="H662" s="1"/>
  <c r="H661" s="1"/>
  <c r="H658"/>
  <c r="H657" s="1"/>
  <c r="H656" s="1"/>
  <c r="H655"/>
  <c r="H654" s="1"/>
  <c r="H653"/>
  <c r="H652" s="1"/>
  <c r="H650"/>
  <c r="H649"/>
  <c r="H646"/>
  <c r="H645"/>
  <c r="H640"/>
  <c r="H639" s="1"/>
  <c r="H638" s="1"/>
  <c r="H637" s="1"/>
  <c r="H635"/>
  <c r="H634" s="1"/>
  <c r="H633" s="1"/>
  <c r="H632"/>
  <c r="H631"/>
  <c r="H629"/>
  <c r="H628" s="1"/>
  <c r="H626"/>
  <c r="H625"/>
  <c r="H622"/>
  <c r="H621" s="1"/>
  <c r="H620"/>
  <c r="H619" s="1"/>
  <c r="H615"/>
  <c r="H614" s="1"/>
  <c r="H613"/>
  <c r="H612" s="1"/>
  <c r="H607"/>
  <c r="H606" s="1"/>
  <c r="H605" s="1"/>
  <c r="H604"/>
  <c r="H603" s="1"/>
  <c r="H602"/>
  <c r="H601" s="1"/>
  <c r="H599"/>
  <c r="H598" s="1"/>
  <c r="H597"/>
  <c r="H596" s="1"/>
  <c r="H594"/>
  <c r="H593" s="1"/>
  <c r="H592"/>
  <c r="H591" s="1"/>
  <c r="H589"/>
  <c r="H588" s="1"/>
  <c r="H587"/>
  <c r="H586" s="1"/>
  <c r="H584"/>
  <c r="H583" s="1"/>
  <c r="H582"/>
  <c r="H581" s="1"/>
  <c r="H579"/>
  <c r="H578" s="1"/>
  <c r="H577"/>
  <c r="H576" s="1"/>
  <c r="H574"/>
  <c r="H573" s="1"/>
  <c r="H572"/>
  <c r="H571" s="1"/>
  <c r="H569"/>
  <c r="H568" s="1"/>
  <c r="H567"/>
  <c r="H566" s="1"/>
  <c r="H564"/>
  <c r="H563" s="1"/>
  <c r="H562"/>
  <c r="H561" s="1"/>
  <c r="H559"/>
  <c r="H557"/>
  <c r="H554"/>
  <c r="H553" s="1"/>
  <c r="H552"/>
  <c r="H551" s="1"/>
  <c r="H549"/>
  <c r="H548" s="1"/>
  <c r="H547"/>
  <c r="H546" s="1"/>
  <c r="H544"/>
  <c r="H543" s="1"/>
  <c r="H542"/>
  <c r="H541" s="1"/>
  <c r="H539"/>
  <c r="H538" s="1"/>
  <c r="H537"/>
  <c r="H536" s="1"/>
  <c r="H534"/>
  <c r="H533" s="1"/>
  <c r="H532"/>
  <c r="H531" s="1"/>
  <c r="H529"/>
  <c r="H528" s="1"/>
  <c r="H527"/>
  <c r="H526" s="1"/>
  <c r="H524"/>
  <c r="H523" s="1"/>
  <c r="H522"/>
  <c r="H521" s="1"/>
  <c r="H519"/>
  <c r="H518" s="1"/>
  <c r="H517"/>
  <c r="H516" s="1"/>
  <c r="H514"/>
  <c r="H513" s="1"/>
  <c r="H512"/>
  <c r="H511" s="1"/>
  <c r="H509"/>
  <c r="H508" s="1"/>
  <c r="H507"/>
  <c r="H506" s="1"/>
  <c r="H504"/>
  <c r="H503" s="1"/>
  <c r="H502"/>
  <c r="H501" s="1"/>
  <c r="H499"/>
  <c r="H498" s="1"/>
  <c r="H497" s="1"/>
  <c r="H496"/>
  <c r="H495" s="1"/>
  <c r="H494"/>
  <c r="H493" s="1"/>
  <c r="H491"/>
  <c r="H490" s="1"/>
  <c r="H489"/>
  <c r="H488" s="1"/>
  <c r="H486"/>
  <c r="H485" s="1"/>
  <c r="H484"/>
  <c r="H483" s="1"/>
  <c r="H481"/>
  <c r="H480" s="1"/>
  <c r="H479"/>
  <c r="H478" s="1"/>
  <c r="H476"/>
  <c r="H475" s="1"/>
  <c r="H474" s="1"/>
  <c r="H473"/>
  <c r="H472" s="1"/>
  <c r="H471"/>
  <c r="H470" s="1"/>
  <c r="H468"/>
  <c r="H467" s="1"/>
  <c r="H466"/>
  <c r="H465" s="1"/>
  <c r="H463"/>
  <c r="H462" s="1"/>
  <c r="H461"/>
  <c r="H460" s="1"/>
  <c r="H458"/>
  <c r="H457" s="1"/>
  <c r="H456"/>
  <c r="H455" s="1"/>
  <c r="H453"/>
  <c r="H452" s="1"/>
  <c r="H451"/>
  <c r="H450" s="1"/>
  <c r="H448"/>
  <c r="H447" s="1"/>
  <c r="H446"/>
  <c r="H445" s="1"/>
  <c r="H443"/>
  <c r="H442" s="1"/>
  <c r="H441"/>
  <c r="H440" s="1"/>
  <c r="H438"/>
  <c r="H437" s="1"/>
  <c r="H436"/>
  <c r="H435" s="1"/>
  <c r="H433"/>
  <c r="H430"/>
  <c r="H429" s="1"/>
  <c r="H428" s="1"/>
  <c r="H427"/>
  <c r="H426" s="1"/>
  <c r="H425" s="1"/>
  <c r="H422"/>
  <c r="H421" s="1"/>
  <c r="H420" s="1"/>
  <c r="H419"/>
  <c r="H418" s="1"/>
  <c r="H417" s="1"/>
  <c r="H416"/>
  <c r="H415" s="1"/>
  <c r="H414" s="1"/>
  <c r="H413"/>
  <c r="H412" s="1"/>
  <c r="H411"/>
  <c r="H410" s="1"/>
  <c r="H408"/>
  <c r="H407" s="1"/>
  <c r="H406" s="1"/>
  <c r="H405"/>
  <c r="H404"/>
  <c r="H402"/>
  <c r="H401"/>
  <c r="H399"/>
  <c r="H397"/>
  <c r="H396" s="1"/>
  <c r="H395"/>
  <c r="H394" s="1"/>
  <c r="H392"/>
  <c r="H391" s="1"/>
  <c r="H390" s="1"/>
  <c r="H386"/>
  <c r="H383"/>
  <c r="H382" s="1"/>
  <c r="H381" s="1"/>
  <c r="H380"/>
  <c r="H379" s="1"/>
  <c r="H378" s="1"/>
  <c r="H377"/>
  <c r="H376" s="1"/>
  <c r="H375" s="1"/>
  <c r="H374"/>
  <c r="H373" s="1"/>
  <c r="H372" s="1"/>
  <c r="H371"/>
  <c r="H370" s="1"/>
  <c r="H369" s="1"/>
  <c r="H368"/>
  <c r="H365"/>
  <c r="H362"/>
  <c r="H357"/>
  <c r="H354"/>
  <c r="H353" s="1"/>
  <c r="H352" s="1"/>
  <c r="H349"/>
  <c r="H348" s="1"/>
  <c r="H347"/>
  <c r="H346" s="1"/>
  <c r="H344"/>
  <c r="H343"/>
  <c r="H342"/>
  <c r="H337"/>
  <c r="H334"/>
  <c r="H331"/>
  <c r="H330" s="1"/>
  <c r="H329" s="1"/>
  <c r="H328"/>
  <c r="H327" s="1"/>
  <c r="H326"/>
  <c r="H325"/>
  <c r="H323"/>
  <c r="H322" s="1"/>
  <c r="H320"/>
  <c r="H319" s="1"/>
  <c r="H318" s="1"/>
  <c r="H317"/>
  <c r="H316"/>
  <c r="H314"/>
  <c r="H312"/>
  <c r="H311" s="1"/>
  <c r="H310"/>
  <c r="H309" s="1"/>
  <c r="H307"/>
  <c r="H306" s="1"/>
  <c r="H305"/>
  <c r="H304" s="1"/>
  <c r="H302"/>
  <c r="H297"/>
  <c r="H296" s="1"/>
  <c r="H295" s="1"/>
  <c r="H294"/>
  <c r="H293"/>
  <c r="H290"/>
  <c r="H289" s="1"/>
  <c r="H288" s="1"/>
  <c r="H287"/>
  <c r="H286" s="1"/>
  <c r="H285" s="1"/>
  <c r="H284"/>
  <c r="H283"/>
  <c r="H280"/>
  <c r="H279" s="1"/>
  <c r="H278" s="1"/>
  <c r="H277"/>
  <c r="H276" s="1"/>
  <c r="H275" s="1"/>
  <c r="H272"/>
  <c r="H271" s="1"/>
  <c r="H270" s="1"/>
  <c r="H269"/>
  <c r="H268" s="1"/>
  <c r="H267"/>
  <c r="H266" s="1"/>
  <c r="H265"/>
  <c r="H264" s="1"/>
  <c r="H262"/>
  <c r="H261" s="1"/>
  <c r="H260" s="1"/>
  <c r="H259"/>
  <c r="H258" s="1"/>
  <c r="H257" s="1"/>
  <c r="H256"/>
  <c r="H255" s="1"/>
  <c r="H254" s="1"/>
  <c r="H253"/>
  <c r="H252" s="1"/>
  <c r="H251" s="1"/>
  <c r="H250"/>
  <c r="H249" s="1"/>
  <c r="H248"/>
  <c r="H247" s="1"/>
  <c r="H245"/>
  <c r="H244" s="1"/>
  <c r="H243" s="1"/>
  <c r="H242"/>
  <c r="H241" s="1"/>
  <c r="H240"/>
  <c r="H239" s="1"/>
  <c r="H237"/>
  <c r="H236" s="1"/>
  <c r="H235"/>
  <c r="H234" s="1"/>
  <c r="H232"/>
  <c r="H231"/>
  <c r="H229"/>
  <c r="H228" s="1"/>
  <c r="H226"/>
  <c r="H225" s="1"/>
  <c r="H224" s="1"/>
  <c r="H223"/>
  <c r="H222" s="1"/>
  <c r="H221" s="1"/>
  <c r="H220"/>
  <c r="H219" s="1"/>
  <c r="H218" s="1"/>
  <c r="H217"/>
  <c r="H216" s="1"/>
  <c r="H215"/>
  <c r="H214" s="1"/>
  <c r="H212"/>
  <c r="H211" s="1"/>
  <c r="H210" s="1"/>
  <c r="H209"/>
  <c r="H208" s="1"/>
  <c r="H207"/>
  <c r="H206" s="1"/>
  <c r="H205"/>
  <c r="H204" s="1"/>
  <c r="H200"/>
  <c r="H199" s="1"/>
  <c r="H198" s="1"/>
  <c r="H197"/>
  <c r="H196" s="1"/>
  <c r="H195" s="1"/>
  <c r="H194"/>
  <c r="H193" s="1"/>
  <c r="H192" s="1"/>
  <c r="H191"/>
  <c r="H190" s="1"/>
  <c r="H189" s="1"/>
  <c r="H188"/>
  <c r="H187" s="1"/>
  <c r="H186" s="1"/>
  <c r="H185"/>
  <c r="H184"/>
  <c r="H181"/>
  <c r="H180" s="1"/>
  <c r="H179" s="1"/>
  <c r="H178"/>
  <c r="H177"/>
  <c r="H174"/>
  <c r="H173" s="1"/>
  <c r="H172" s="1"/>
  <c r="H171"/>
  <c r="H170" s="1"/>
  <c r="H169" s="1"/>
  <c r="H165"/>
  <c r="H164" s="1"/>
  <c r="H163"/>
  <c r="H162" s="1"/>
  <c r="H160"/>
  <c r="H159" s="1"/>
  <c r="H158" s="1"/>
  <c r="H157"/>
  <c r="H156" s="1"/>
  <c r="H155" s="1"/>
  <c r="H154"/>
  <c r="H153" s="1"/>
  <c r="H152"/>
  <c r="H151" s="1"/>
  <c r="H150"/>
  <c r="H149" s="1"/>
  <c r="H148"/>
  <c r="H147" s="1"/>
  <c r="H145"/>
  <c r="H144"/>
  <c r="H142"/>
  <c r="H141" s="1"/>
  <c r="H140"/>
  <c r="H139" s="1"/>
  <c r="H138"/>
  <c r="H137" s="1"/>
  <c r="H135"/>
  <c r="H134" s="1"/>
  <c r="H133"/>
  <c r="H132" s="1"/>
  <c r="H128"/>
  <c r="H127" s="1"/>
  <c r="H126"/>
  <c r="H125" s="1"/>
  <c r="H123"/>
  <c r="H122" s="1"/>
  <c r="H121" s="1"/>
  <c r="H120"/>
  <c r="H119" s="1"/>
  <c r="H118" s="1"/>
  <c r="H117"/>
  <c r="H116" s="1"/>
  <c r="H115" s="1"/>
  <c r="H114"/>
  <c r="H111"/>
  <c r="H110" s="1"/>
  <c r="H109"/>
  <c r="H108" s="1"/>
  <c r="H106"/>
  <c r="H105" s="1"/>
  <c r="H104" s="1"/>
  <c r="H101"/>
  <c r="H100"/>
  <c r="H98"/>
  <c r="H97" s="1"/>
  <c r="H95"/>
  <c r="H94"/>
  <c r="H92"/>
  <c r="H91"/>
  <c r="H89"/>
  <c r="H88" s="1"/>
  <c r="H86"/>
  <c r="H85" s="1"/>
  <c r="H84" s="1"/>
  <c r="H81"/>
  <c r="H80" s="1"/>
  <c r="H79" s="1"/>
  <c r="H78" s="1"/>
  <c r="H76"/>
  <c r="H75"/>
  <c r="H70"/>
  <c r="H69" s="1"/>
  <c r="H68" s="1"/>
  <c r="H67"/>
  <c r="H66" s="1"/>
  <c r="H65"/>
  <c r="H64" s="1"/>
  <c r="H63"/>
  <c r="H62" s="1"/>
  <c r="H61"/>
  <c r="H60" s="1"/>
  <c r="H59"/>
  <c r="H58" s="1"/>
  <c r="H54"/>
  <c r="H53" s="1"/>
  <c r="H52" s="1"/>
  <c r="H48"/>
  <c r="H47" s="1"/>
  <c r="H46"/>
  <c r="H45" s="1"/>
  <c r="H43"/>
  <c r="H42"/>
  <c r="H39"/>
  <c r="H38"/>
  <c r="H35"/>
  <c r="H34" s="1"/>
  <c r="H33" s="1"/>
  <c r="H30"/>
  <c r="H29" s="1"/>
  <c r="H28" s="1"/>
  <c r="H27"/>
  <c r="H26" s="1"/>
  <c r="H25" s="1"/>
  <c r="H24"/>
  <c r="H23" s="1"/>
  <c r="H22" s="1"/>
  <c r="H21"/>
  <c r="H20" s="1"/>
  <c r="H19" s="1"/>
  <c r="H18"/>
  <c r="H17" s="1"/>
  <c r="H16" s="1"/>
  <c r="H15"/>
  <c r="H14" s="1"/>
  <c r="H13" s="1"/>
  <c r="G2153"/>
  <c r="G2152" s="1"/>
  <c r="G2151" s="1"/>
  <c r="G2150" s="1"/>
  <c r="F2153"/>
  <c r="F2152" s="1"/>
  <c r="F2151" s="1"/>
  <c r="F2150" s="1"/>
  <c r="G2148"/>
  <c r="G2147" s="1"/>
  <c r="G2146" s="1"/>
  <c r="G2145" s="1"/>
  <c r="F2148"/>
  <c r="F2147" s="1"/>
  <c r="F2146" s="1"/>
  <c r="F2145" s="1"/>
  <c r="G2143"/>
  <c r="F2143"/>
  <c r="G2142"/>
  <c r="F2142"/>
  <c r="G2138"/>
  <c r="F2138"/>
  <c r="G2137"/>
  <c r="F2137"/>
  <c r="F2136" s="1"/>
  <c r="F2135" s="1"/>
  <c r="F2134" s="1"/>
  <c r="G2131"/>
  <c r="G2130" s="1"/>
  <c r="G2129" s="1"/>
  <c r="F2131"/>
  <c r="F2130" s="1"/>
  <c r="F2129" s="1"/>
  <c r="G2128"/>
  <c r="G2127" s="1"/>
  <c r="F2128"/>
  <c r="F2127" s="1"/>
  <c r="G2126"/>
  <c r="G2125" s="1"/>
  <c r="F2126"/>
  <c r="F2125" s="1"/>
  <c r="G2121"/>
  <c r="G2120" s="1"/>
  <c r="F2121"/>
  <c r="F2120" s="1"/>
  <c r="G2119"/>
  <c r="F2119"/>
  <c r="G2118"/>
  <c r="F2118"/>
  <c r="G2117"/>
  <c r="F2117"/>
  <c r="G2115"/>
  <c r="G2114" s="1"/>
  <c r="F2115"/>
  <c r="F2114" s="1"/>
  <c r="G2113"/>
  <c r="F2113"/>
  <c r="G2112"/>
  <c r="F2112"/>
  <c r="G2108"/>
  <c r="F2108"/>
  <c r="G2102"/>
  <c r="G2101" s="1"/>
  <c r="F2102"/>
  <c r="F2101" s="1"/>
  <c r="G2096"/>
  <c r="G2095" s="1"/>
  <c r="F2096"/>
  <c r="F2095" s="1"/>
  <c r="G2088"/>
  <c r="G2087" s="1"/>
  <c r="F2088"/>
  <c r="F2087" s="1"/>
  <c r="G2086"/>
  <c r="G2085" s="1"/>
  <c r="F2086"/>
  <c r="F2085" s="1"/>
  <c r="G2079"/>
  <c r="F2079"/>
  <c r="G2078"/>
  <c r="F2078"/>
  <c r="G2076"/>
  <c r="G2075" s="1"/>
  <c r="F2076"/>
  <c r="F2075" s="1"/>
  <c r="F2074"/>
  <c r="F2073" s="1"/>
  <c r="G2067"/>
  <c r="G2066" s="1"/>
  <c r="F2067"/>
  <c r="F2066" s="1"/>
  <c r="G2060"/>
  <c r="G2059" s="1"/>
  <c r="G2058" s="1"/>
  <c r="G2057" s="1"/>
  <c r="F2060"/>
  <c r="F2059" s="1"/>
  <c r="F2058" s="1"/>
  <c r="F2057" s="1"/>
  <c r="G2055"/>
  <c r="G2054" s="1"/>
  <c r="G2053" s="1"/>
  <c r="G2052" s="1"/>
  <c r="F2055"/>
  <c r="F2054" s="1"/>
  <c r="F2053" s="1"/>
  <c r="F2052" s="1"/>
  <c r="G2050"/>
  <c r="G2049" s="1"/>
  <c r="G2048" s="1"/>
  <c r="G2047" s="1"/>
  <c r="F2050"/>
  <c r="F2049" s="1"/>
  <c r="F2048" s="1"/>
  <c r="F2047" s="1"/>
  <c r="G2044"/>
  <c r="F2044"/>
  <c r="F2043" s="1"/>
  <c r="F2042" s="1"/>
  <c r="G2043"/>
  <c r="G2042" s="1"/>
  <c r="G2040"/>
  <c r="F2040"/>
  <c r="G2038"/>
  <c r="G2037" s="1"/>
  <c r="F2038"/>
  <c r="F2037" s="1"/>
  <c r="G2031"/>
  <c r="G2030" s="1"/>
  <c r="G2029" s="1"/>
  <c r="G2028" s="1"/>
  <c r="F2031"/>
  <c r="F2030" s="1"/>
  <c r="F2029" s="1"/>
  <c r="F2028" s="1"/>
  <c r="G2026"/>
  <c r="G2025" s="1"/>
  <c r="G2024" s="1"/>
  <c r="G2023" s="1"/>
  <c r="F2026"/>
  <c r="F2025" s="1"/>
  <c r="F2024" s="1"/>
  <c r="F2023" s="1"/>
  <c r="G2020"/>
  <c r="G2019" s="1"/>
  <c r="G2018" s="1"/>
  <c r="G2017" s="1"/>
  <c r="F2020"/>
  <c r="F2019" s="1"/>
  <c r="F2018" s="1"/>
  <c r="F2017" s="1"/>
  <c r="G2015"/>
  <c r="G2014" s="1"/>
  <c r="G2013" s="1"/>
  <c r="G2012" s="1"/>
  <c r="G2011" s="1"/>
  <c r="G2007"/>
  <c r="G2006" s="1"/>
  <c r="G2005" s="1"/>
  <c r="G2004" s="1"/>
  <c r="F2007"/>
  <c r="F2006" s="1"/>
  <c r="F2005" s="1"/>
  <c r="F2004" s="1"/>
  <c r="G2002"/>
  <c r="G2001" s="1"/>
  <c r="G2000" s="1"/>
  <c r="F2002"/>
  <c r="F2001" s="1"/>
  <c r="F2000" s="1"/>
  <c r="G1999"/>
  <c r="G1998" s="1"/>
  <c r="G1997" s="1"/>
  <c r="G1996" s="1"/>
  <c r="F1999"/>
  <c r="F1998" s="1"/>
  <c r="F1997" s="1"/>
  <c r="G1994"/>
  <c r="G1993" s="1"/>
  <c r="F1994"/>
  <c r="F1993" s="1"/>
  <c r="G1992"/>
  <c r="G1991" s="1"/>
  <c r="F1992"/>
  <c r="F1991" s="1"/>
  <c r="F1990" s="1"/>
  <c r="G1989"/>
  <c r="G1988" s="1"/>
  <c r="G1987" s="1"/>
  <c r="F1989"/>
  <c r="F1988" s="1"/>
  <c r="F1987" s="1"/>
  <c r="G1986"/>
  <c r="G1985" s="1"/>
  <c r="G1984" s="1"/>
  <c r="F1986"/>
  <c r="F1985" s="1"/>
  <c r="F1984" s="1"/>
  <c r="G1981"/>
  <c r="G1980" s="1"/>
  <c r="G1979" s="1"/>
  <c r="F1981"/>
  <c r="F1980" s="1"/>
  <c r="F1979" s="1"/>
  <c r="G1978"/>
  <c r="G1977" s="1"/>
  <c r="F1978"/>
  <c r="F1977" s="1"/>
  <c r="G1976"/>
  <c r="G1975" s="1"/>
  <c r="F1976"/>
  <c r="F1975" s="1"/>
  <c r="G1974"/>
  <c r="G1973" s="1"/>
  <c r="F1974"/>
  <c r="F1973" s="1"/>
  <c r="G1971"/>
  <c r="F1971"/>
  <c r="G1970"/>
  <c r="G1969" s="1"/>
  <c r="F1970"/>
  <c r="F1969" s="1"/>
  <c r="G1968"/>
  <c r="F1968"/>
  <c r="G1967"/>
  <c r="G1966" s="1"/>
  <c r="G1965" s="1"/>
  <c r="F1967"/>
  <c r="G1960"/>
  <c r="G1959" s="1"/>
  <c r="G1958" s="1"/>
  <c r="F1960"/>
  <c r="F1959" s="1"/>
  <c r="F1958" s="1"/>
  <c r="G1957"/>
  <c r="G1956" s="1"/>
  <c r="G1955" s="1"/>
  <c r="F1957"/>
  <c r="F1956" s="1"/>
  <c r="F1955" s="1"/>
  <c r="G1954"/>
  <c r="G1953" s="1"/>
  <c r="F1954"/>
  <c r="F1953" s="1"/>
  <c r="G1952"/>
  <c r="G1951" s="1"/>
  <c r="F1952"/>
  <c r="F1951" s="1"/>
  <c r="G1949"/>
  <c r="G1948" s="1"/>
  <c r="G1947" s="1"/>
  <c r="F1949"/>
  <c r="F1948" s="1"/>
  <c r="F1947" s="1"/>
  <c r="G1946"/>
  <c r="G1945" s="1"/>
  <c r="G1944" s="1"/>
  <c r="F1946"/>
  <c r="F1945" s="1"/>
  <c r="F1944" s="1"/>
  <c r="G1943"/>
  <c r="G1942" s="1"/>
  <c r="F1943"/>
  <c r="F1942" s="1"/>
  <c r="G1941"/>
  <c r="G1940" s="1"/>
  <c r="F1941"/>
  <c r="F1940" s="1"/>
  <c r="G1936"/>
  <c r="G1935" s="1"/>
  <c r="F1936"/>
  <c r="F1935" s="1"/>
  <c r="G1934"/>
  <c r="G1933" s="1"/>
  <c r="F1934"/>
  <c r="F1933" s="1"/>
  <c r="G1926"/>
  <c r="G1925" s="1"/>
  <c r="G1924" s="1"/>
  <c r="F1926"/>
  <c r="F1925" s="1"/>
  <c r="F1924" s="1"/>
  <c r="G1923"/>
  <c r="G1922" s="1"/>
  <c r="G1921" s="1"/>
  <c r="F1923"/>
  <c r="F1922" s="1"/>
  <c r="F1921" s="1"/>
  <c r="G1920"/>
  <c r="G1919" s="1"/>
  <c r="G1918" s="1"/>
  <c r="F1920"/>
  <c r="F1919" s="1"/>
  <c r="F1918" s="1"/>
  <c r="G1917"/>
  <c r="G1916" s="1"/>
  <c r="G1915" s="1"/>
  <c r="F1917"/>
  <c r="F1916" s="1"/>
  <c r="F1915" s="1"/>
  <c r="G1914"/>
  <c r="G1913" s="1"/>
  <c r="G1912" s="1"/>
  <c r="F1914"/>
  <c r="F1913" s="1"/>
  <c r="F1912" s="1"/>
  <c r="G1909"/>
  <c r="G1908" s="1"/>
  <c r="G1907" s="1"/>
  <c r="F1909"/>
  <c r="F1908" s="1"/>
  <c r="F1907" s="1"/>
  <c r="G1905"/>
  <c r="F1905"/>
  <c r="G1903"/>
  <c r="G1902" s="1"/>
  <c r="F1903"/>
  <c r="F1902" s="1"/>
  <c r="G1901"/>
  <c r="G1900" s="1"/>
  <c r="F1901"/>
  <c r="F1900" s="1"/>
  <c r="G1896"/>
  <c r="G1895" s="1"/>
  <c r="F1896"/>
  <c r="F1895" s="1"/>
  <c r="G1894"/>
  <c r="G1893" s="1"/>
  <c r="F1894"/>
  <c r="F1893" s="1"/>
  <c r="G1889"/>
  <c r="G1888" s="1"/>
  <c r="F1889"/>
  <c r="F1888" s="1"/>
  <c r="G1887"/>
  <c r="G1886" s="1"/>
  <c r="F1887"/>
  <c r="F1886" s="1"/>
  <c r="G1879"/>
  <c r="G1878" s="1"/>
  <c r="F1879"/>
  <c r="F1878" s="1"/>
  <c r="G1876"/>
  <c r="G1875" s="1"/>
  <c r="G1871"/>
  <c r="G1870" s="1"/>
  <c r="G1869" s="1"/>
  <c r="F1871"/>
  <c r="F1870" s="1"/>
  <c r="F1869" s="1"/>
  <c r="G1868"/>
  <c r="G1867" s="1"/>
  <c r="G1866" s="1"/>
  <c r="F1868"/>
  <c r="F1867" s="1"/>
  <c r="F1866" s="1"/>
  <c r="G1865"/>
  <c r="G1864" s="1"/>
  <c r="F1865"/>
  <c r="F1864" s="1"/>
  <c r="G1863"/>
  <c r="G1862" s="1"/>
  <c r="F1863"/>
  <c r="F1862" s="1"/>
  <c r="G1856"/>
  <c r="G1855" s="1"/>
  <c r="G1854" s="1"/>
  <c r="F1856"/>
  <c r="F1855" s="1"/>
  <c r="F1854" s="1"/>
  <c r="G1853"/>
  <c r="G1852" s="1"/>
  <c r="G1851" s="1"/>
  <c r="F1853"/>
  <c r="F1852" s="1"/>
  <c r="F1851" s="1"/>
  <c r="F1850" s="1"/>
  <c r="G1848"/>
  <c r="G1847" s="1"/>
  <c r="F1848"/>
  <c r="F1847" s="1"/>
  <c r="G1846"/>
  <c r="G1845" s="1"/>
  <c r="F1846"/>
  <c r="F1845" s="1"/>
  <c r="F1844" s="1"/>
  <c r="G1843"/>
  <c r="G1842" s="1"/>
  <c r="G1841" s="1"/>
  <c r="F1843"/>
  <c r="F1842" s="1"/>
  <c r="F1841" s="1"/>
  <c r="G1838"/>
  <c r="G1837" s="1"/>
  <c r="F1838"/>
  <c r="F1837" s="1"/>
  <c r="G1833"/>
  <c r="G1832" s="1"/>
  <c r="G1831" s="1"/>
  <c r="F1833"/>
  <c r="F1832" s="1"/>
  <c r="F1831" s="1"/>
  <c r="G1827"/>
  <c r="F1827"/>
  <c r="G1826"/>
  <c r="F1826"/>
  <c r="G1824"/>
  <c r="G1823" s="1"/>
  <c r="F1824"/>
  <c r="F1823" s="1"/>
  <c r="G1817"/>
  <c r="G1816" s="1"/>
  <c r="G1815" s="1"/>
  <c r="F1817"/>
  <c r="F1816" s="1"/>
  <c r="F1815" s="1"/>
  <c r="G1814"/>
  <c r="G1813" s="1"/>
  <c r="G1812" s="1"/>
  <c r="F1814"/>
  <c r="F1813" s="1"/>
  <c r="F1812" s="1"/>
  <c r="G1811"/>
  <c r="G1810" s="1"/>
  <c r="G1809" s="1"/>
  <c r="F1811"/>
  <c r="F1810" s="1"/>
  <c r="F1809" s="1"/>
  <c r="G1808"/>
  <c r="F1808"/>
  <c r="G1807"/>
  <c r="F1807"/>
  <c r="G1804"/>
  <c r="G1803" s="1"/>
  <c r="G1802" s="1"/>
  <c r="F1804"/>
  <c r="F1803" s="1"/>
  <c r="F1802" s="1"/>
  <c r="G1799"/>
  <c r="F1799"/>
  <c r="G1798"/>
  <c r="F1798"/>
  <c r="G1797"/>
  <c r="F1797"/>
  <c r="G1796"/>
  <c r="F1796"/>
  <c r="G1795"/>
  <c r="G1794" s="1"/>
  <c r="G1793" s="1"/>
  <c r="G1792" s="1"/>
  <c r="F1795"/>
  <c r="F1794" s="1"/>
  <c r="F1793" s="1"/>
  <c r="F1792" s="1"/>
  <c r="G1790"/>
  <c r="G1789" s="1"/>
  <c r="G1788" s="1"/>
  <c r="F1790"/>
  <c r="F1789" s="1"/>
  <c r="F1788" s="1"/>
  <c r="G1787"/>
  <c r="G1786" s="1"/>
  <c r="G1785" s="1"/>
  <c r="F1787"/>
  <c r="F1786" s="1"/>
  <c r="F1785" s="1"/>
  <c r="G1784"/>
  <c r="G1783" s="1"/>
  <c r="G1782" s="1"/>
  <c r="F1784"/>
  <c r="F1783" s="1"/>
  <c r="F1782" s="1"/>
  <c r="G1781"/>
  <c r="G1780" s="1"/>
  <c r="G1779" s="1"/>
  <c r="F1781"/>
  <c r="F1780" s="1"/>
  <c r="F1779" s="1"/>
  <c r="G1778"/>
  <c r="F1778"/>
  <c r="G1777"/>
  <c r="F1777"/>
  <c r="G1776"/>
  <c r="F1776"/>
  <c r="G1774"/>
  <c r="G1773" s="1"/>
  <c r="F1774"/>
  <c r="F1773" s="1"/>
  <c r="G1771"/>
  <c r="G1770" s="1"/>
  <c r="F1771"/>
  <c r="F1770" s="1"/>
  <c r="G1769"/>
  <c r="F1769"/>
  <c r="F1768" s="1"/>
  <c r="G1768"/>
  <c r="G1767"/>
  <c r="G1766" s="1"/>
  <c r="F1767"/>
  <c r="F1766" s="1"/>
  <c r="G1762"/>
  <c r="G1761" s="1"/>
  <c r="G1760" s="1"/>
  <c r="F1762"/>
  <c r="F1761" s="1"/>
  <c r="F1760" s="1"/>
  <c r="G1759"/>
  <c r="G1758" s="1"/>
  <c r="G1757" s="1"/>
  <c r="F1759"/>
  <c r="F1758" s="1"/>
  <c r="F1757" s="1"/>
  <c r="G1753"/>
  <c r="G1752" s="1"/>
  <c r="G1751" s="1"/>
  <c r="F1753"/>
  <c r="F1752" s="1"/>
  <c r="F1751" s="1"/>
  <c r="G1750"/>
  <c r="F1750"/>
  <c r="G1749"/>
  <c r="G1748" s="1"/>
  <c r="F1749"/>
  <c r="G1747"/>
  <c r="G1746" s="1"/>
  <c r="F1747"/>
  <c r="F1746" s="1"/>
  <c r="F1745"/>
  <c r="F1744" s="1"/>
  <c r="G1740"/>
  <c r="G1739" s="1"/>
  <c r="G1738" s="1"/>
  <c r="F1740"/>
  <c r="F1739" s="1"/>
  <c r="F1738" s="1"/>
  <c r="G1737"/>
  <c r="G1736" s="1"/>
  <c r="G1735" s="1"/>
  <c r="F1737"/>
  <c r="F1736" s="1"/>
  <c r="F1735" s="1"/>
  <c r="G1734"/>
  <c r="G1733" s="1"/>
  <c r="F1734"/>
  <c r="F1733" s="1"/>
  <c r="G1732"/>
  <c r="G1731" s="1"/>
  <c r="F1732"/>
  <c r="F1731" s="1"/>
  <c r="G1729"/>
  <c r="G1728" s="1"/>
  <c r="G1727" s="1"/>
  <c r="F1729"/>
  <c r="F1728" s="1"/>
  <c r="F1727" s="1"/>
  <c r="G1726"/>
  <c r="G1725" s="1"/>
  <c r="G1724" s="1"/>
  <c r="F1726"/>
  <c r="F1725" s="1"/>
  <c r="F1724" s="1"/>
  <c r="G1721"/>
  <c r="G1720" s="1"/>
  <c r="F1721"/>
  <c r="F1720" s="1"/>
  <c r="G1719"/>
  <c r="G1718" s="1"/>
  <c r="F1719"/>
  <c r="F1718" s="1"/>
  <c r="G1714"/>
  <c r="G1713" s="1"/>
  <c r="F1714"/>
  <c r="F1713" s="1"/>
  <c r="G1709"/>
  <c r="G1708" s="1"/>
  <c r="G1707" s="1"/>
  <c r="F1709"/>
  <c r="F1708" s="1"/>
  <c r="F1707" s="1"/>
  <c r="G1704"/>
  <c r="G1703" s="1"/>
  <c r="F1704"/>
  <c r="F1703" s="1"/>
  <c r="G1702"/>
  <c r="G1701" s="1"/>
  <c r="F1702"/>
  <c r="F1701" s="1"/>
  <c r="F1700" s="1"/>
  <c r="F1699" s="1"/>
  <c r="G1697"/>
  <c r="G1696" s="1"/>
  <c r="G1695" s="1"/>
  <c r="F1697"/>
  <c r="F1696" s="1"/>
  <c r="F1695" s="1"/>
  <c r="G1694"/>
  <c r="G1693" s="1"/>
  <c r="G1692" s="1"/>
  <c r="F1694"/>
  <c r="F1693" s="1"/>
  <c r="F1692" s="1"/>
  <c r="G1691"/>
  <c r="G1690" s="1"/>
  <c r="G1689" s="1"/>
  <c r="F1691"/>
  <c r="F1690" s="1"/>
  <c r="F1689" s="1"/>
  <c r="G1687"/>
  <c r="F1687"/>
  <c r="G1683"/>
  <c r="G1682" s="1"/>
  <c r="F1683"/>
  <c r="F1682" s="1"/>
  <c r="G1678"/>
  <c r="G1677" s="1"/>
  <c r="G1676" s="1"/>
  <c r="F1678"/>
  <c r="F1677" s="1"/>
  <c r="F1676" s="1"/>
  <c r="G1673"/>
  <c r="G1672" s="1"/>
  <c r="F1673"/>
  <c r="F1672" s="1"/>
  <c r="G1671"/>
  <c r="G1670" s="1"/>
  <c r="F1671"/>
  <c r="F1670" s="1"/>
  <c r="G1664"/>
  <c r="G1663" s="1"/>
  <c r="G1662" s="1"/>
  <c r="F1664"/>
  <c r="F1663" s="1"/>
  <c r="F1662" s="1"/>
  <c r="G1661"/>
  <c r="G1660" s="1"/>
  <c r="G1659" s="1"/>
  <c r="F1661"/>
  <c r="F1660" s="1"/>
  <c r="F1659" s="1"/>
  <c r="G1656"/>
  <c r="G1655" s="1"/>
  <c r="G1654" s="1"/>
  <c r="F1656"/>
  <c r="F1655" s="1"/>
  <c r="F1654" s="1"/>
  <c r="G1653"/>
  <c r="G1652" s="1"/>
  <c r="G1651" s="1"/>
  <c r="F1653"/>
  <c r="F1652" s="1"/>
  <c r="F1651" s="1"/>
  <c r="G1648"/>
  <c r="G1647" s="1"/>
  <c r="G1646" s="1"/>
  <c r="F1648"/>
  <c r="F1647" s="1"/>
  <c r="F1646" s="1"/>
  <c r="G1645"/>
  <c r="G1644" s="1"/>
  <c r="G1643" s="1"/>
  <c r="F1645"/>
  <c r="F1644" s="1"/>
  <c r="F1643" s="1"/>
  <c r="G1640"/>
  <c r="G1639" s="1"/>
  <c r="G1638" s="1"/>
  <c r="F1640"/>
  <c r="F1639" s="1"/>
  <c r="F1638" s="1"/>
  <c r="G1637"/>
  <c r="G1636" s="1"/>
  <c r="G1635" s="1"/>
  <c r="F1637"/>
  <c r="F1636" s="1"/>
  <c r="F1635" s="1"/>
  <c r="G1634"/>
  <c r="G1633" s="1"/>
  <c r="G1632" s="1"/>
  <c r="F1634"/>
  <c r="F1633" s="1"/>
  <c r="F1632" s="1"/>
  <c r="G1631"/>
  <c r="G1630" s="1"/>
  <c r="G1629" s="1"/>
  <c r="F1631"/>
  <c r="F1630" s="1"/>
  <c r="F1629" s="1"/>
  <c r="G1625"/>
  <c r="G1624" s="1"/>
  <c r="G1623" s="1"/>
  <c r="F1625"/>
  <c r="F1624" s="1"/>
  <c r="F1623" s="1"/>
  <c r="G1622"/>
  <c r="G1621" s="1"/>
  <c r="G1620" s="1"/>
  <c r="F1622"/>
  <c r="F1621" s="1"/>
  <c r="F1620" s="1"/>
  <c r="G1617"/>
  <c r="G1616" s="1"/>
  <c r="G1615" s="1"/>
  <c r="F1617"/>
  <c r="F1616" s="1"/>
  <c r="F1615" s="1"/>
  <c r="G1612"/>
  <c r="G1611" s="1"/>
  <c r="F1612"/>
  <c r="F1611" s="1"/>
  <c r="G1605"/>
  <c r="G1604" s="1"/>
  <c r="G1603" s="1"/>
  <c r="G1602" s="1"/>
  <c r="F1605"/>
  <c r="F1604" s="1"/>
  <c r="F1603" s="1"/>
  <c r="F1602" s="1"/>
  <c r="G1600"/>
  <c r="G1599" s="1"/>
  <c r="G1598" s="1"/>
  <c r="F1600"/>
  <c r="F1599" s="1"/>
  <c r="F1598" s="1"/>
  <c r="G1597"/>
  <c r="G1596" s="1"/>
  <c r="G1595" s="1"/>
  <c r="F1597"/>
  <c r="F1596" s="1"/>
  <c r="F1595" s="1"/>
  <c r="G1594"/>
  <c r="G1593" s="1"/>
  <c r="F1594"/>
  <c r="F1593" s="1"/>
  <c r="G1592"/>
  <c r="G1591" s="1"/>
  <c r="F1592"/>
  <c r="F1591" s="1"/>
  <c r="G1586"/>
  <c r="G1585" s="1"/>
  <c r="G1584" s="1"/>
  <c r="F1586"/>
  <c r="F1585" s="1"/>
  <c r="F1584" s="1"/>
  <c r="G1583"/>
  <c r="G1582" s="1"/>
  <c r="G1581" s="1"/>
  <c r="F1583"/>
  <c r="F1582" s="1"/>
  <c r="F1581" s="1"/>
  <c r="G1580"/>
  <c r="G1579" s="1"/>
  <c r="G1578" s="1"/>
  <c r="F1580"/>
  <c r="F1579" s="1"/>
  <c r="F1578" s="1"/>
  <c r="G1577"/>
  <c r="G1576" s="1"/>
  <c r="G1575" s="1"/>
  <c r="F1577"/>
  <c r="F1576" s="1"/>
  <c r="F1575" s="1"/>
  <c r="G1574"/>
  <c r="G1573" s="1"/>
  <c r="G1572" s="1"/>
  <c r="F1574"/>
  <c r="F1573" s="1"/>
  <c r="F1572" s="1"/>
  <c r="G1571"/>
  <c r="G1570" s="1"/>
  <c r="G1569" s="1"/>
  <c r="F1571"/>
  <c r="F1570" s="1"/>
  <c r="F1569" s="1"/>
  <c r="G1568"/>
  <c r="G1567" s="1"/>
  <c r="G1566" s="1"/>
  <c r="F1568"/>
  <c r="F1567" s="1"/>
  <c r="F1566" s="1"/>
  <c r="G1565"/>
  <c r="G1564" s="1"/>
  <c r="G1563" s="1"/>
  <c r="F1565"/>
  <c r="F1564" s="1"/>
  <c r="F1563" s="1"/>
  <c r="G1560"/>
  <c r="G1559" s="1"/>
  <c r="F1560"/>
  <c r="F1559" s="1"/>
  <c r="G1558"/>
  <c r="G1557" s="1"/>
  <c r="F1558"/>
  <c r="F1557" s="1"/>
  <c r="G1553"/>
  <c r="G1552" s="1"/>
  <c r="G1551" s="1"/>
  <c r="F1553"/>
  <c r="F1552" s="1"/>
  <c r="F1551" s="1"/>
  <c r="G1550"/>
  <c r="G1549"/>
  <c r="F1549"/>
  <c r="G1547"/>
  <c r="G1546" s="1"/>
  <c r="F1547"/>
  <c r="F1546" s="1"/>
  <c r="G1545"/>
  <c r="G1544" s="1"/>
  <c r="F1545"/>
  <c r="F1544" s="1"/>
  <c r="G1539"/>
  <c r="G1538" s="1"/>
  <c r="F1539"/>
  <c r="F1538" s="1"/>
  <c r="G1535"/>
  <c r="G1534" s="1"/>
  <c r="G1533" s="1"/>
  <c r="F1535"/>
  <c r="F1534" s="1"/>
  <c r="F1533" s="1"/>
  <c r="G1532"/>
  <c r="G1531" s="1"/>
  <c r="G1530" s="1"/>
  <c r="F1532"/>
  <c r="F1531" s="1"/>
  <c r="F1530" s="1"/>
  <c r="G1529"/>
  <c r="G1528" s="1"/>
  <c r="G1527" s="1"/>
  <c r="F1529"/>
  <c r="F1528" s="1"/>
  <c r="F1527" s="1"/>
  <c r="G1526"/>
  <c r="G1525" s="1"/>
  <c r="G1524" s="1"/>
  <c r="F1526"/>
  <c r="F1525" s="1"/>
  <c r="F1524" s="1"/>
  <c r="G1520"/>
  <c r="G1519" s="1"/>
  <c r="F1520"/>
  <c r="F1519" s="1"/>
  <c r="G1513"/>
  <c r="G1512" s="1"/>
  <c r="F1513"/>
  <c r="F1512" s="1"/>
  <c r="G1507"/>
  <c r="F1507"/>
  <c r="G1505"/>
  <c r="G1504" s="1"/>
  <c r="F1505"/>
  <c r="F1504" s="1"/>
  <c r="G1503"/>
  <c r="G1502" s="1"/>
  <c r="F1503"/>
  <c r="F1502" s="1"/>
  <c r="G1497"/>
  <c r="F1497"/>
  <c r="G1495"/>
  <c r="G1494" s="1"/>
  <c r="F1495"/>
  <c r="F1494" s="1"/>
  <c r="G1487"/>
  <c r="G1486" s="1"/>
  <c r="G1485" s="1"/>
  <c r="F1487"/>
  <c r="F1486" s="1"/>
  <c r="F1485" s="1"/>
  <c r="G1484"/>
  <c r="G1483" s="1"/>
  <c r="G1482" s="1"/>
  <c r="F1484"/>
  <c r="F1483" s="1"/>
  <c r="F1482" s="1"/>
  <c r="G1481"/>
  <c r="G1480" s="1"/>
  <c r="G1479" s="1"/>
  <c r="F1481"/>
  <c r="F1480" s="1"/>
  <c r="F1479" s="1"/>
  <c r="G1478"/>
  <c r="G1477" s="1"/>
  <c r="G1476" s="1"/>
  <c r="F1478"/>
  <c r="F1477" s="1"/>
  <c r="F1476" s="1"/>
  <c r="G1473"/>
  <c r="G1472" s="1"/>
  <c r="G1471" s="1"/>
  <c r="F1473"/>
  <c r="F1472" s="1"/>
  <c r="F1471" s="1"/>
  <c r="G1470"/>
  <c r="G1469" s="1"/>
  <c r="G1468" s="1"/>
  <c r="F1470"/>
  <c r="F1469" s="1"/>
  <c r="F1468" s="1"/>
  <c r="G1465"/>
  <c r="G1464" s="1"/>
  <c r="G1463" s="1"/>
  <c r="F1465"/>
  <c r="F1464" s="1"/>
  <c r="F1463" s="1"/>
  <c r="G1462"/>
  <c r="G1461" s="1"/>
  <c r="G1460" s="1"/>
  <c r="F1462"/>
  <c r="F1461" s="1"/>
  <c r="F1460" s="1"/>
  <c r="G1459"/>
  <c r="G1458" s="1"/>
  <c r="F1459"/>
  <c r="F1458" s="1"/>
  <c r="G1457"/>
  <c r="G1456" s="1"/>
  <c r="F1457"/>
  <c r="F1456" s="1"/>
  <c r="G1448"/>
  <c r="G1447" s="1"/>
  <c r="G1446" s="1"/>
  <c r="F1448"/>
  <c r="F1447" s="1"/>
  <c r="F1446" s="1"/>
  <c r="G1443"/>
  <c r="G1442"/>
  <c r="F1442"/>
  <c r="G1440"/>
  <c r="G1439" s="1"/>
  <c r="F1440"/>
  <c r="F1439" s="1"/>
  <c r="G1433"/>
  <c r="G1432" s="1"/>
  <c r="F1433"/>
  <c r="F1432" s="1"/>
  <c r="G1431"/>
  <c r="G1430" s="1"/>
  <c r="F1431"/>
  <c r="F1430" s="1"/>
  <c r="G1426"/>
  <c r="G1425" s="1"/>
  <c r="F1426"/>
  <c r="F1425" s="1"/>
  <c r="G1424"/>
  <c r="G1423" s="1"/>
  <c r="F1424"/>
  <c r="F1423" s="1"/>
  <c r="G1417"/>
  <c r="G1416" s="1"/>
  <c r="G1415" s="1"/>
  <c r="F1417"/>
  <c r="F1416" s="1"/>
  <c r="F1415" s="1"/>
  <c r="F1414"/>
  <c r="F1413" s="1"/>
  <c r="G1412"/>
  <c r="G1411" s="1"/>
  <c r="F1412"/>
  <c r="F1411" s="1"/>
  <c r="G1405"/>
  <c r="G1404" s="1"/>
  <c r="F1405"/>
  <c r="F1404" s="1"/>
  <c r="G1403"/>
  <c r="F1403"/>
  <c r="G1402"/>
  <c r="F1402"/>
  <c r="G1400"/>
  <c r="G1399" s="1"/>
  <c r="F1400"/>
  <c r="F1399" s="1"/>
  <c r="G1397"/>
  <c r="G1396" s="1"/>
  <c r="G1395" s="1"/>
  <c r="F1397"/>
  <c r="F1396" s="1"/>
  <c r="F1395" s="1"/>
  <c r="G1394"/>
  <c r="G1393" s="1"/>
  <c r="G1392" s="1"/>
  <c r="F1394"/>
  <c r="F1393" s="1"/>
  <c r="F1392" s="1"/>
  <c r="G1391"/>
  <c r="G1390" s="1"/>
  <c r="G1389" s="1"/>
  <c r="F1391"/>
  <c r="F1390" s="1"/>
  <c r="F1389" s="1"/>
  <c r="G1388"/>
  <c r="G1387" s="1"/>
  <c r="F1388"/>
  <c r="F1387" s="1"/>
  <c r="G1386"/>
  <c r="F1386"/>
  <c r="G1385"/>
  <c r="G1384" s="1"/>
  <c r="F1385"/>
  <c r="G1383"/>
  <c r="G1382" s="1"/>
  <c r="F1383"/>
  <c r="F1382" s="1"/>
  <c r="G1378"/>
  <c r="G1377" s="1"/>
  <c r="G1376" s="1"/>
  <c r="F1378"/>
  <c r="F1377" s="1"/>
  <c r="F1376" s="1"/>
  <c r="G1375"/>
  <c r="G1374" s="1"/>
  <c r="F1375"/>
  <c r="F1374" s="1"/>
  <c r="G1373"/>
  <c r="G1372" s="1"/>
  <c r="F1373"/>
  <c r="F1372" s="1"/>
  <c r="G1371"/>
  <c r="G1370" s="1"/>
  <c r="F1371"/>
  <c r="F1370" s="1"/>
  <c r="G1365"/>
  <c r="G1364" s="1"/>
  <c r="F1365"/>
  <c r="F1364" s="1"/>
  <c r="G1363"/>
  <c r="G1362" s="1"/>
  <c r="F1363"/>
  <c r="F1362" s="1"/>
  <c r="G1361"/>
  <c r="G1360" s="1"/>
  <c r="G1356"/>
  <c r="G1355" s="1"/>
  <c r="G1354" s="1"/>
  <c r="F1356"/>
  <c r="F1355" s="1"/>
  <c r="F1354" s="1"/>
  <c r="G1353"/>
  <c r="G1352" s="1"/>
  <c r="G1351" s="1"/>
  <c r="F1353"/>
  <c r="F1352" s="1"/>
  <c r="F1351" s="1"/>
  <c r="G1350"/>
  <c r="G1349" s="1"/>
  <c r="G1348" s="1"/>
  <c r="F1350"/>
  <c r="F1349" s="1"/>
  <c r="F1348" s="1"/>
  <c r="G1347"/>
  <c r="G1346" s="1"/>
  <c r="G1345" s="1"/>
  <c r="F1347"/>
  <c r="F1346" s="1"/>
  <c r="F1345" s="1"/>
  <c r="G1342"/>
  <c r="G1341" s="1"/>
  <c r="G1340" s="1"/>
  <c r="F1342"/>
  <c r="F1341" s="1"/>
  <c r="F1340" s="1"/>
  <c r="G1339"/>
  <c r="G1338" s="1"/>
  <c r="F1339"/>
  <c r="F1338" s="1"/>
  <c r="G1337"/>
  <c r="G1336" s="1"/>
  <c r="F1337"/>
  <c r="F1336" s="1"/>
  <c r="F1335" s="1"/>
  <c r="G1334"/>
  <c r="G1333" s="1"/>
  <c r="G1332" s="1"/>
  <c r="F1334"/>
  <c r="F1333" s="1"/>
  <c r="F1332" s="1"/>
  <c r="G1329"/>
  <c r="G1328" s="1"/>
  <c r="G1327" s="1"/>
  <c r="F1329"/>
  <c r="F1328" s="1"/>
  <c r="F1327" s="1"/>
  <c r="G1326"/>
  <c r="G1325" s="1"/>
  <c r="G1324" s="1"/>
  <c r="F1326"/>
  <c r="F1325" s="1"/>
  <c r="F1324" s="1"/>
  <c r="G1323"/>
  <c r="G1322" s="1"/>
  <c r="G1321" s="1"/>
  <c r="F1323"/>
  <c r="F1322" s="1"/>
  <c r="F1321" s="1"/>
  <c r="G1320"/>
  <c r="G1319" s="1"/>
  <c r="G1318" s="1"/>
  <c r="F1320"/>
  <c r="F1319" s="1"/>
  <c r="F1318" s="1"/>
  <c r="G1317"/>
  <c r="G1316" s="1"/>
  <c r="G1315" s="1"/>
  <c r="F1317"/>
  <c r="F1316" s="1"/>
  <c r="F1315" s="1"/>
  <c r="G1314"/>
  <c r="G1313" s="1"/>
  <c r="G1312" s="1"/>
  <c r="F1314"/>
  <c r="F1313" s="1"/>
  <c r="F1312" s="1"/>
  <c r="G1311"/>
  <c r="G1310" s="1"/>
  <c r="G1309" s="1"/>
  <c r="F1311"/>
  <c r="F1310" s="1"/>
  <c r="F1309" s="1"/>
  <c r="G1308"/>
  <c r="G1307" s="1"/>
  <c r="F1308"/>
  <c r="F1307" s="1"/>
  <c r="G1306"/>
  <c r="F1306"/>
  <c r="G1305"/>
  <c r="F1305"/>
  <c r="G1304"/>
  <c r="F1304"/>
  <c r="G1302"/>
  <c r="G1301" s="1"/>
  <c r="F1302"/>
  <c r="F1301" s="1"/>
  <c r="G1299"/>
  <c r="G1298" s="1"/>
  <c r="G1297" s="1"/>
  <c r="F1299"/>
  <c r="F1298" s="1"/>
  <c r="F1297" s="1"/>
  <c r="G1296"/>
  <c r="F1296"/>
  <c r="G1295"/>
  <c r="G1294" s="1"/>
  <c r="F1295"/>
  <c r="F1294" s="1"/>
  <c r="G1293"/>
  <c r="G1292" s="1"/>
  <c r="G1291" s="1"/>
  <c r="F1293"/>
  <c r="F1292" s="1"/>
  <c r="F1291" s="1"/>
  <c r="G1290"/>
  <c r="G1289" s="1"/>
  <c r="G1288" s="1"/>
  <c r="F1290"/>
  <c r="F1289" s="1"/>
  <c r="F1288" s="1"/>
  <c r="G1287"/>
  <c r="G1286" s="1"/>
  <c r="G1285" s="1"/>
  <c r="F1287"/>
  <c r="F1286" s="1"/>
  <c r="F1285" s="1"/>
  <c r="G1284"/>
  <c r="G1283" s="1"/>
  <c r="G1282" s="1"/>
  <c r="F1284"/>
  <c r="F1283" s="1"/>
  <c r="F1282" s="1"/>
  <c r="G1281"/>
  <c r="G1280" s="1"/>
  <c r="G1279" s="1"/>
  <c r="F1281"/>
  <c r="F1280" s="1"/>
  <c r="F1279" s="1"/>
  <c r="G1275"/>
  <c r="G1274" s="1"/>
  <c r="G1273" s="1"/>
  <c r="F1275"/>
  <c r="F1274" s="1"/>
  <c r="F1273" s="1"/>
  <c r="G1272"/>
  <c r="G1271" s="1"/>
  <c r="G1270" s="1"/>
  <c r="F1272"/>
  <c r="F1271" s="1"/>
  <c r="F1270" s="1"/>
  <c r="G1269"/>
  <c r="G1268" s="1"/>
  <c r="G1267" s="1"/>
  <c r="F1269"/>
  <c r="F1268" s="1"/>
  <c r="F1267" s="1"/>
  <c r="G1266"/>
  <c r="G1265" s="1"/>
  <c r="G1264" s="1"/>
  <c r="F1266"/>
  <c r="F1265" s="1"/>
  <c r="F1264" s="1"/>
  <c r="G1263"/>
  <c r="G1262" s="1"/>
  <c r="G1261" s="1"/>
  <c r="F1263"/>
  <c r="F1262" s="1"/>
  <c r="F1261" s="1"/>
  <c r="G1260"/>
  <c r="G1259" s="1"/>
  <c r="G1258" s="1"/>
  <c r="F1260"/>
  <c r="F1259" s="1"/>
  <c r="F1258" s="1"/>
  <c r="G1253"/>
  <c r="G1252" s="1"/>
  <c r="F1253"/>
  <c r="F1252" s="1"/>
  <c r="G1248"/>
  <c r="G1247" s="1"/>
  <c r="G1246" s="1"/>
  <c r="F1248"/>
  <c r="F1247" s="1"/>
  <c r="F1246" s="1"/>
  <c r="G1243"/>
  <c r="G1242" s="1"/>
  <c r="G1241" s="1"/>
  <c r="F1243"/>
  <c r="F1242" s="1"/>
  <c r="F1241" s="1"/>
  <c r="G1240"/>
  <c r="G1239" s="1"/>
  <c r="G1238" s="1"/>
  <c r="F1240"/>
  <c r="F1239" s="1"/>
  <c r="F1238" s="1"/>
  <c r="G1237"/>
  <c r="G1236" s="1"/>
  <c r="G1235" s="1"/>
  <c r="F1237"/>
  <c r="F1236" s="1"/>
  <c r="F1235" s="1"/>
  <c r="G1231"/>
  <c r="G1230" s="1"/>
  <c r="G1229" s="1"/>
  <c r="F1231"/>
  <c r="F1230" s="1"/>
  <c r="F1229" s="1"/>
  <c r="G1228"/>
  <c r="G1227" s="1"/>
  <c r="G1226" s="1"/>
  <c r="F1228"/>
  <c r="F1227" s="1"/>
  <c r="F1226" s="1"/>
  <c r="G1223"/>
  <c r="G1222" s="1"/>
  <c r="G1221" s="1"/>
  <c r="F1223"/>
  <c r="F1222" s="1"/>
  <c r="F1221" s="1"/>
  <c r="G1220"/>
  <c r="F1220"/>
  <c r="G1219"/>
  <c r="G1218" s="1"/>
  <c r="F1219"/>
  <c r="F1218" s="1"/>
  <c r="G1217"/>
  <c r="G1216" s="1"/>
  <c r="F1217"/>
  <c r="F1216" s="1"/>
  <c r="G1210"/>
  <c r="G1209" s="1"/>
  <c r="F1210"/>
  <c r="F1209" s="1"/>
  <c r="G1208"/>
  <c r="G1207" s="1"/>
  <c r="F1208"/>
  <c r="F1207" s="1"/>
  <c r="G1206"/>
  <c r="G1205" s="1"/>
  <c r="F1206"/>
  <c r="F1205" s="1"/>
  <c r="G1203"/>
  <c r="G1202" s="1"/>
  <c r="G1201" s="1"/>
  <c r="F1203"/>
  <c r="F1202" s="1"/>
  <c r="F1201" s="1"/>
  <c r="G1198"/>
  <c r="G1197" s="1"/>
  <c r="G1196"/>
  <c r="G1195" s="1"/>
  <c r="F1196"/>
  <c r="F1195" s="1"/>
  <c r="G1194"/>
  <c r="G1193" s="1"/>
  <c r="F1194"/>
  <c r="F1193" s="1"/>
  <c r="F1192"/>
  <c r="F1191" s="1"/>
  <c r="G1187"/>
  <c r="G1186" s="1"/>
  <c r="G1185" s="1"/>
  <c r="F1187"/>
  <c r="F1186" s="1"/>
  <c r="F1185" s="1"/>
  <c r="G1183"/>
  <c r="F1183"/>
  <c r="G1179"/>
  <c r="G1178" s="1"/>
  <c r="F1179"/>
  <c r="F1178" s="1"/>
  <c r="G1177"/>
  <c r="G1176" s="1"/>
  <c r="G1171"/>
  <c r="G1170" s="1"/>
  <c r="G1169" s="1"/>
  <c r="G1168" s="1"/>
  <c r="F1171"/>
  <c r="F1170" s="1"/>
  <c r="F1169" s="1"/>
  <c r="F1168" s="1"/>
  <c r="G1166"/>
  <c r="G1165" s="1"/>
  <c r="G1164" s="1"/>
  <c r="F1166"/>
  <c r="F1165" s="1"/>
  <c r="F1164" s="1"/>
  <c r="G1163"/>
  <c r="G1162" s="1"/>
  <c r="G1161" s="1"/>
  <c r="F1163"/>
  <c r="F1162" s="1"/>
  <c r="F1161" s="1"/>
  <c r="G1160"/>
  <c r="G1159" s="1"/>
  <c r="G1158" s="1"/>
  <c r="F1160"/>
  <c r="F1159" s="1"/>
  <c r="F1158" s="1"/>
  <c r="G1157"/>
  <c r="G1156" s="1"/>
  <c r="G1155" s="1"/>
  <c r="F1157"/>
  <c r="F1156" s="1"/>
  <c r="F1155" s="1"/>
  <c r="G1154"/>
  <c r="G1153" s="1"/>
  <c r="G1152" s="1"/>
  <c r="F1154"/>
  <c r="F1153" s="1"/>
  <c r="F1152" s="1"/>
  <c r="G1149"/>
  <c r="G1148" s="1"/>
  <c r="G1147" s="1"/>
  <c r="F1149"/>
  <c r="F1148" s="1"/>
  <c r="F1147" s="1"/>
  <c r="G1146"/>
  <c r="G1145" s="1"/>
  <c r="G1144" s="1"/>
  <c r="F1146"/>
  <c r="F1145" s="1"/>
  <c r="F1144" s="1"/>
  <c r="G1143"/>
  <c r="G1142" s="1"/>
  <c r="F1143"/>
  <c r="F1142" s="1"/>
  <c r="G1141"/>
  <c r="G1140" s="1"/>
  <c r="F1141"/>
  <c r="F1140" s="1"/>
  <c r="F1139" s="1"/>
  <c r="G1135"/>
  <c r="G1134" s="1"/>
  <c r="G1133" s="1"/>
  <c r="F1135"/>
  <c r="F1134" s="1"/>
  <c r="F1133" s="1"/>
  <c r="G1132"/>
  <c r="G1131" s="1"/>
  <c r="G1130" s="1"/>
  <c r="F1132"/>
  <c r="F1131" s="1"/>
  <c r="F1130" s="1"/>
  <c r="G1127"/>
  <c r="G1126" s="1"/>
  <c r="G1125" s="1"/>
  <c r="F1127"/>
  <c r="F1126" s="1"/>
  <c r="F1125" s="1"/>
  <c r="G1124"/>
  <c r="G1123" s="1"/>
  <c r="G1122" s="1"/>
  <c r="F1124"/>
  <c r="F1123" s="1"/>
  <c r="F1122" s="1"/>
  <c r="G1119"/>
  <c r="G1118" s="1"/>
  <c r="G1117" s="1"/>
  <c r="G1116" s="1"/>
  <c r="F1119"/>
  <c r="F1118" s="1"/>
  <c r="F1117" s="1"/>
  <c r="F1116" s="1"/>
  <c r="G1114"/>
  <c r="G1113" s="1"/>
  <c r="F1114"/>
  <c r="F1113" s="1"/>
  <c r="G1112"/>
  <c r="F1112"/>
  <c r="G1109"/>
  <c r="G1108" s="1"/>
  <c r="F1109"/>
  <c r="F1108" s="1"/>
  <c r="G1106"/>
  <c r="G1105"/>
  <c r="F1105"/>
  <c r="G1103"/>
  <c r="G1102" s="1"/>
  <c r="F1103"/>
  <c r="F1102" s="1"/>
  <c r="G1101"/>
  <c r="G1100" s="1"/>
  <c r="F1101"/>
  <c r="F1100" s="1"/>
  <c r="G1096"/>
  <c r="G1095" s="1"/>
  <c r="G1094" s="1"/>
  <c r="F1096"/>
  <c r="F1095" s="1"/>
  <c r="F1094" s="1"/>
  <c r="G1093"/>
  <c r="F1093"/>
  <c r="G1092"/>
  <c r="F1092"/>
  <c r="G1090"/>
  <c r="G1089" s="1"/>
  <c r="F1090"/>
  <c r="F1089" s="1"/>
  <c r="G1088"/>
  <c r="G1087" s="1"/>
  <c r="F1088"/>
  <c r="F1087" s="1"/>
  <c r="G1083"/>
  <c r="G1082" s="1"/>
  <c r="F1083"/>
  <c r="F1082" s="1"/>
  <c r="G1081"/>
  <c r="F1081"/>
  <c r="G1080"/>
  <c r="F1080"/>
  <c r="G1078"/>
  <c r="G1077" s="1"/>
  <c r="F1078"/>
  <c r="F1077" s="1"/>
  <c r="G1072"/>
  <c r="G1071" s="1"/>
  <c r="G1070" s="1"/>
  <c r="F1072"/>
  <c r="F1071" s="1"/>
  <c r="F1070" s="1"/>
  <c r="G1068"/>
  <c r="F1068"/>
  <c r="G1064"/>
  <c r="G1063" s="1"/>
  <c r="F1064"/>
  <c r="F1063" s="1"/>
  <c r="G1062"/>
  <c r="G1061" s="1"/>
  <c r="F1062"/>
  <c r="F1061" s="1"/>
  <c r="G1055"/>
  <c r="G1054" s="1"/>
  <c r="F1055"/>
  <c r="F1054" s="1"/>
  <c r="G1053"/>
  <c r="G1052" s="1"/>
  <c r="F1053"/>
  <c r="F1052" s="1"/>
  <c r="G1046"/>
  <c r="G1045" s="1"/>
  <c r="G1044" s="1"/>
  <c r="F1046"/>
  <c r="F1045" s="1"/>
  <c r="F1044" s="1"/>
  <c r="G1043"/>
  <c r="G1042" s="1"/>
  <c r="G1041" s="1"/>
  <c r="F1043"/>
  <c r="F1042" s="1"/>
  <c r="F1041" s="1"/>
  <c r="G1040"/>
  <c r="G1039" s="1"/>
  <c r="G1038" s="1"/>
  <c r="F1040"/>
  <c r="F1039" s="1"/>
  <c r="F1038" s="1"/>
  <c r="G1035"/>
  <c r="G1034" s="1"/>
  <c r="G1033" s="1"/>
  <c r="F1035"/>
  <c r="F1034" s="1"/>
  <c r="F1033" s="1"/>
  <c r="G1032"/>
  <c r="G1031" s="1"/>
  <c r="G1030" s="1"/>
  <c r="F1032"/>
  <c r="F1031" s="1"/>
  <c r="F1030" s="1"/>
  <c r="G1029"/>
  <c r="G1028" s="1"/>
  <c r="G1027" s="1"/>
  <c r="F1029"/>
  <c r="F1028" s="1"/>
  <c r="F1027" s="1"/>
  <c r="G1026"/>
  <c r="G1025" s="1"/>
  <c r="G1024" s="1"/>
  <c r="F1026"/>
  <c r="F1025" s="1"/>
  <c r="F1024" s="1"/>
  <c r="G1023"/>
  <c r="G1022" s="1"/>
  <c r="G1021" s="1"/>
  <c r="F1023"/>
  <c r="F1022" s="1"/>
  <c r="F1021" s="1"/>
  <c r="G1020"/>
  <c r="G1019" s="1"/>
  <c r="F1020"/>
  <c r="F1019" s="1"/>
  <c r="G1018"/>
  <c r="G1017" s="1"/>
  <c r="F1018"/>
  <c r="F1017" s="1"/>
  <c r="G1012"/>
  <c r="G1011" s="1"/>
  <c r="G1010" s="1"/>
  <c r="F1012"/>
  <c r="F1011" s="1"/>
  <c r="F1010" s="1"/>
  <c r="G1009"/>
  <c r="G1008" s="1"/>
  <c r="G1007" s="1"/>
  <c r="F1009"/>
  <c r="F1008" s="1"/>
  <c r="F1007" s="1"/>
  <c r="G1004"/>
  <c r="G1003" s="1"/>
  <c r="G1002" s="1"/>
  <c r="G1001"/>
  <c r="F1001"/>
  <c r="G1000"/>
  <c r="F1000"/>
  <c r="G998"/>
  <c r="F998"/>
  <c r="F996" s="1"/>
  <c r="G997"/>
  <c r="F997"/>
  <c r="G995"/>
  <c r="G994" s="1"/>
  <c r="F995"/>
  <c r="F994" s="1"/>
  <c r="G990"/>
  <c r="G989" s="1"/>
  <c r="G988" s="1"/>
  <c r="F990"/>
  <c r="F989" s="1"/>
  <c r="F988" s="1"/>
  <c r="G985"/>
  <c r="G984" s="1"/>
  <c r="G983" s="1"/>
  <c r="F985"/>
  <c r="F984" s="1"/>
  <c r="F983" s="1"/>
  <c r="G982"/>
  <c r="G981" s="1"/>
  <c r="G980" s="1"/>
  <c r="F982"/>
  <c r="F981" s="1"/>
  <c r="F980" s="1"/>
  <c r="G979"/>
  <c r="G978" s="1"/>
  <c r="G977" s="1"/>
  <c r="F979"/>
  <c r="F978" s="1"/>
  <c r="F977" s="1"/>
  <c r="G976"/>
  <c r="G975" s="1"/>
  <c r="G974" s="1"/>
  <c r="F976"/>
  <c r="F975" s="1"/>
  <c r="F974" s="1"/>
  <c r="G971"/>
  <c r="G970" s="1"/>
  <c r="G969" s="1"/>
  <c r="F971"/>
  <c r="F970" s="1"/>
  <c r="F969" s="1"/>
  <c r="G968"/>
  <c r="G967" s="1"/>
  <c r="G966" s="1"/>
  <c r="F968"/>
  <c r="F967" s="1"/>
  <c r="F966" s="1"/>
  <c r="G965"/>
  <c r="G964" s="1"/>
  <c r="G963" s="1"/>
  <c r="F965"/>
  <c r="F964" s="1"/>
  <c r="F963" s="1"/>
  <c r="G962"/>
  <c r="G961" s="1"/>
  <c r="G960" s="1"/>
  <c r="F962"/>
  <c r="F961" s="1"/>
  <c r="F960" s="1"/>
  <c r="G959"/>
  <c r="G958" s="1"/>
  <c r="G957" s="1"/>
  <c r="F959"/>
  <c r="F958" s="1"/>
  <c r="F957" s="1"/>
  <c r="G956"/>
  <c r="G955" s="1"/>
  <c r="G954" s="1"/>
  <c r="F956"/>
  <c r="F955" s="1"/>
  <c r="F954" s="1"/>
  <c r="G953"/>
  <c r="G952" s="1"/>
  <c r="G951" s="1"/>
  <c r="F953"/>
  <c r="F952" s="1"/>
  <c r="F951" s="1"/>
  <c r="G950"/>
  <c r="G949" s="1"/>
  <c r="G948" s="1"/>
  <c r="F950"/>
  <c r="F949" s="1"/>
  <c r="F948" s="1"/>
  <c r="G947"/>
  <c r="G946" s="1"/>
  <c r="G945" s="1"/>
  <c r="F947"/>
  <c r="F946" s="1"/>
  <c r="F945" s="1"/>
  <c r="G944"/>
  <c r="G943" s="1"/>
  <c r="G942" s="1"/>
  <c r="F944"/>
  <c r="F943" s="1"/>
  <c r="F942" s="1"/>
  <c r="G941"/>
  <c r="G940" s="1"/>
  <c r="G939" s="1"/>
  <c r="F941"/>
  <c r="F940" s="1"/>
  <c r="F939" s="1"/>
  <c r="G938"/>
  <c r="G937" s="1"/>
  <c r="G936" s="1"/>
  <c r="F938"/>
  <c r="F937" s="1"/>
  <c r="F936" s="1"/>
  <c r="G935"/>
  <c r="G934" s="1"/>
  <c r="G933" s="1"/>
  <c r="F935"/>
  <c r="F934" s="1"/>
  <c r="F933" s="1"/>
  <c r="G932"/>
  <c r="G931" s="1"/>
  <c r="G930" s="1"/>
  <c r="F932"/>
  <c r="F931" s="1"/>
  <c r="F930" s="1"/>
  <c r="G929"/>
  <c r="G928" s="1"/>
  <c r="G927" s="1"/>
  <c r="F929"/>
  <c r="F928" s="1"/>
  <c r="F927" s="1"/>
  <c r="G926"/>
  <c r="G925" s="1"/>
  <c r="G924" s="1"/>
  <c r="F926"/>
  <c r="F925" s="1"/>
  <c r="F924" s="1"/>
  <c r="G923"/>
  <c r="G922" s="1"/>
  <c r="G921" s="1"/>
  <c r="F923"/>
  <c r="F922" s="1"/>
  <c r="F921" s="1"/>
  <c r="G920"/>
  <c r="G919" s="1"/>
  <c r="G918" s="1"/>
  <c r="F920"/>
  <c r="F919" s="1"/>
  <c r="F918" s="1"/>
  <c r="G917"/>
  <c r="G916" s="1"/>
  <c r="G915" s="1"/>
  <c r="F917"/>
  <c r="F916" s="1"/>
  <c r="F915" s="1"/>
  <c r="G914"/>
  <c r="G913" s="1"/>
  <c r="G912" s="1"/>
  <c r="F914"/>
  <c r="F913" s="1"/>
  <c r="F912" s="1"/>
  <c r="G911"/>
  <c r="G910" s="1"/>
  <c r="G909" s="1"/>
  <c r="F911"/>
  <c r="F910" s="1"/>
  <c r="F909" s="1"/>
  <c r="G908"/>
  <c r="G907" s="1"/>
  <c r="G906" s="1"/>
  <c r="F908"/>
  <c r="F907" s="1"/>
  <c r="F906" s="1"/>
  <c r="G905"/>
  <c r="G904" s="1"/>
  <c r="G903" s="1"/>
  <c r="F905"/>
  <c r="F904" s="1"/>
  <c r="F903" s="1"/>
  <c r="G902"/>
  <c r="G901" s="1"/>
  <c r="G900" s="1"/>
  <c r="F902"/>
  <c r="F901" s="1"/>
  <c r="F900" s="1"/>
  <c r="G899"/>
  <c r="G898" s="1"/>
  <c r="G897" s="1"/>
  <c r="F899"/>
  <c r="F898" s="1"/>
  <c r="F897" s="1"/>
  <c r="G896"/>
  <c r="G895" s="1"/>
  <c r="G894" s="1"/>
  <c r="F896"/>
  <c r="F895" s="1"/>
  <c r="F894" s="1"/>
  <c r="G893"/>
  <c r="G892" s="1"/>
  <c r="G891" s="1"/>
  <c r="F893"/>
  <c r="F892" s="1"/>
  <c r="F891" s="1"/>
  <c r="G890"/>
  <c r="G889" s="1"/>
  <c r="G888" s="1"/>
  <c r="F890"/>
  <c r="F889" s="1"/>
  <c r="F888" s="1"/>
  <c r="G887"/>
  <c r="G886" s="1"/>
  <c r="G885" s="1"/>
  <c r="F887"/>
  <c r="F886" s="1"/>
  <c r="F885" s="1"/>
  <c r="G884"/>
  <c r="G883" s="1"/>
  <c r="G882" s="1"/>
  <c r="F884"/>
  <c r="F883" s="1"/>
  <c r="F882" s="1"/>
  <c r="G881"/>
  <c r="G880" s="1"/>
  <c r="G879" s="1"/>
  <c r="F881"/>
  <c r="F880" s="1"/>
  <c r="F879" s="1"/>
  <c r="G878"/>
  <c r="G877" s="1"/>
  <c r="G876" s="1"/>
  <c r="F878"/>
  <c r="F877" s="1"/>
  <c r="F876" s="1"/>
  <c r="G875"/>
  <c r="G874" s="1"/>
  <c r="G873" s="1"/>
  <c r="F875"/>
  <c r="F874" s="1"/>
  <c r="F873" s="1"/>
  <c r="G872"/>
  <c r="G871" s="1"/>
  <c r="F872"/>
  <c r="F871" s="1"/>
  <c r="G870"/>
  <c r="G869" s="1"/>
  <c r="F870"/>
  <c r="F869" s="1"/>
  <c r="G867"/>
  <c r="G866" s="1"/>
  <c r="G865" s="1"/>
  <c r="F867"/>
  <c r="F866" s="1"/>
  <c r="F865" s="1"/>
  <c r="G864"/>
  <c r="G863" s="1"/>
  <c r="G862" s="1"/>
  <c r="F864"/>
  <c r="F863" s="1"/>
  <c r="F862" s="1"/>
  <c r="G861"/>
  <c r="G860" s="1"/>
  <c r="G859" s="1"/>
  <c r="F861"/>
  <c r="F860" s="1"/>
  <c r="F859" s="1"/>
  <c r="G858"/>
  <c r="G857" s="1"/>
  <c r="G856" s="1"/>
  <c r="F858"/>
  <c r="F857" s="1"/>
  <c r="F856" s="1"/>
  <c r="G855"/>
  <c r="G854" s="1"/>
  <c r="G853" s="1"/>
  <c r="F855"/>
  <c r="F854" s="1"/>
  <c r="F853" s="1"/>
  <c r="G852"/>
  <c r="G851" s="1"/>
  <c r="G850" s="1"/>
  <c r="F852"/>
  <c r="F851" s="1"/>
  <c r="F850" s="1"/>
  <c r="G849"/>
  <c r="G848" s="1"/>
  <c r="G847" s="1"/>
  <c r="F849"/>
  <c r="F848" s="1"/>
  <c r="F847" s="1"/>
  <c r="G846"/>
  <c r="G845" s="1"/>
  <c r="G844" s="1"/>
  <c r="F846"/>
  <c r="F845" s="1"/>
  <c r="F844" s="1"/>
  <c r="G843"/>
  <c r="G842" s="1"/>
  <c r="G841" s="1"/>
  <c r="F843"/>
  <c r="F842" s="1"/>
  <c r="F841" s="1"/>
  <c r="G840"/>
  <c r="G839" s="1"/>
  <c r="G838" s="1"/>
  <c r="F840"/>
  <c r="F839" s="1"/>
  <c r="F838" s="1"/>
  <c r="G837"/>
  <c r="G836" s="1"/>
  <c r="G835" s="1"/>
  <c r="F837"/>
  <c r="F836" s="1"/>
  <c r="F835" s="1"/>
  <c r="G834"/>
  <c r="G833" s="1"/>
  <c r="G832" s="1"/>
  <c r="F834"/>
  <c r="F833" s="1"/>
  <c r="F832" s="1"/>
  <c r="G831"/>
  <c r="G830" s="1"/>
  <c r="G829" s="1"/>
  <c r="F831"/>
  <c r="F830" s="1"/>
  <c r="F829" s="1"/>
  <c r="G828"/>
  <c r="G827" s="1"/>
  <c r="G826" s="1"/>
  <c r="F828"/>
  <c r="F827" s="1"/>
  <c r="F826" s="1"/>
  <c r="G825"/>
  <c r="G824" s="1"/>
  <c r="G823" s="1"/>
  <c r="F825"/>
  <c r="F824" s="1"/>
  <c r="F823" s="1"/>
  <c r="G822"/>
  <c r="G821" s="1"/>
  <c r="G820" s="1"/>
  <c r="F822"/>
  <c r="F821" s="1"/>
  <c r="F820" s="1"/>
  <c r="G819"/>
  <c r="G818" s="1"/>
  <c r="G817" s="1"/>
  <c r="F819"/>
  <c r="F818" s="1"/>
  <c r="F817" s="1"/>
  <c r="G816"/>
  <c r="F816"/>
  <c r="F815" s="1"/>
  <c r="F814" s="1"/>
  <c r="G815"/>
  <c r="G814" s="1"/>
  <c r="G813"/>
  <c r="G812" s="1"/>
  <c r="G811" s="1"/>
  <c r="F813"/>
  <c r="F812" s="1"/>
  <c r="F811" s="1"/>
  <c r="G810"/>
  <c r="G809" s="1"/>
  <c r="G808" s="1"/>
  <c r="F810"/>
  <c r="F809" s="1"/>
  <c r="F808" s="1"/>
  <c r="G807"/>
  <c r="G806" s="1"/>
  <c r="G805" s="1"/>
  <c r="F807"/>
  <c r="F806" s="1"/>
  <c r="F805" s="1"/>
  <c r="G804"/>
  <c r="F804"/>
  <c r="F803" s="1"/>
  <c r="F802" s="1"/>
  <c r="G803"/>
  <c r="G802" s="1"/>
  <c r="G801"/>
  <c r="G800" s="1"/>
  <c r="G799" s="1"/>
  <c r="F801"/>
  <c r="F800" s="1"/>
  <c r="F799" s="1"/>
  <c r="G798"/>
  <c r="G797" s="1"/>
  <c r="G796" s="1"/>
  <c r="F798"/>
  <c r="F797" s="1"/>
  <c r="F796" s="1"/>
  <c r="G792"/>
  <c r="G791" s="1"/>
  <c r="F792"/>
  <c r="F791" s="1"/>
  <c r="G790"/>
  <c r="G789" s="1"/>
  <c r="F790"/>
  <c r="F789" s="1"/>
  <c r="G788"/>
  <c r="G787" s="1"/>
  <c r="F788"/>
  <c r="F787" s="1"/>
  <c r="G785"/>
  <c r="G784" s="1"/>
  <c r="G783" s="1"/>
  <c r="F785"/>
  <c r="F784" s="1"/>
  <c r="F783" s="1"/>
  <c r="G782"/>
  <c r="G781" s="1"/>
  <c r="G780" s="1"/>
  <c r="F782"/>
  <c r="F781" s="1"/>
  <c r="F780" s="1"/>
  <c r="G779"/>
  <c r="G778" s="1"/>
  <c r="G777" s="1"/>
  <c r="F779"/>
  <c r="F778" s="1"/>
  <c r="F777" s="1"/>
  <c r="G776"/>
  <c r="G775" s="1"/>
  <c r="F776"/>
  <c r="F775" s="1"/>
  <c r="G774"/>
  <c r="F774"/>
  <c r="G773"/>
  <c r="F773"/>
  <c r="G771"/>
  <c r="G770" s="1"/>
  <c r="F771"/>
  <c r="F770" s="1"/>
  <c r="G768"/>
  <c r="G767" s="1"/>
  <c r="G766" s="1"/>
  <c r="F768"/>
  <c r="F767" s="1"/>
  <c r="F766" s="1"/>
  <c r="G765"/>
  <c r="G764" s="1"/>
  <c r="G763" s="1"/>
  <c r="F765"/>
  <c r="F764" s="1"/>
  <c r="F763" s="1"/>
  <c r="G759"/>
  <c r="G758" s="1"/>
  <c r="F759"/>
  <c r="F758" s="1"/>
  <c r="G756"/>
  <c r="G755" s="1"/>
  <c r="F756"/>
  <c r="F755" s="1"/>
  <c r="G754"/>
  <c r="G753" s="1"/>
  <c r="F754"/>
  <c r="F753" s="1"/>
  <c r="G747"/>
  <c r="G746" s="1"/>
  <c r="F747"/>
  <c r="F746" s="1"/>
  <c r="G745"/>
  <c r="G744" s="1"/>
  <c r="F745"/>
  <c r="F744" s="1"/>
  <c r="G740"/>
  <c r="G739" s="1"/>
  <c r="G738" s="1"/>
  <c r="F740"/>
  <c r="F739" s="1"/>
  <c r="F738" s="1"/>
  <c r="G737"/>
  <c r="G736" s="1"/>
  <c r="G735" s="1"/>
  <c r="F737"/>
  <c r="F736" s="1"/>
  <c r="F735" s="1"/>
  <c r="G734"/>
  <c r="G733" s="1"/>
  <c r="G732" s="1"/>
  <c r="F734"/>
  <c r="F733" s="1"/>
  <c r="F732" s="1"/>
  <c r="G731"/>
  <c r="G730" s="1"/>
  <c r="G729" s="1"/>
  <c r="F731"/>
  <c r="F730" s="1"/>
  <c r="F729" s="1"/>
  <c r="G728"/>
  <c r="G727" s="1"/>
  <c r="G726" s="1"/>
  <c r="F728"/>
  <c r="F727" s="1"/>
  <c r="F726" s="1"/>
  <c r="G725"/>
  <c r="G724" s="1"/>
  <c r="F725"/>
  <c r="F724" s="1"/>
  <c r="G723"/>
  <c r="G722" s="1"/>
  <c r="F723"/>
  <c r="F722" s="1"/>
  <c r="F721" s="1"/>
  <c r="G718"/>
  <c r="G717" s="1"/>
  <c r="G716" s="1"/>
  <c r="F718"/>
  <c r="F717" s="1"/>
  <c r="F716" s="1"/>
  <c r="G715"/>
  <c r="F715"/>
  <c r="G714"/>
  <c r="F714"/>
  <c r="G711"/>
  <c r="G710" s="1"/>
  <c r="G709" s="1"/>
  <c r="F711"/>
  <c r="F710" s="1"/>
  <c r="F709" s="1"/>
  <c r="G706"/>
  <c r="F706"/>
  <c r="G705"/>
  <c r="F705"/>
  <c r="G703"/>
  <c r="G702" s="1"/>
  <c r="F703"/>
  <c r="F702" s="1"/>
  <c r="G701"/>
  <c r="G700" s="1"/>
  <c r="F701"/>
  <c r="F700" s="1"/>
  <c r="G698"/>
  <c r="G697" s="1"/>
  <c r="G696" s="1"/>
  <c r="F698"/>
  <c r="F697" s="1"/>
  <c r="F696" s="1"/>
  <c r="G695"/>
  <c r="G694" s="1"/>
  <c r="G693" s="1"/>
  <c r="F695"/>
  <c r="F694" s="1"/>
  <c r="F693" s="1"/>
  <c r="G692"/>
  <c r="F692"/>
  <c r="F691" s="1"/>
  <c r="F690" s="1"/>
  <c r="G691"/>
  <c r="G690" s="1"/>
  <c r="G689"/>
  <c r="G688" s="1"/>
  <c r="G687" s="1"/>
  <c r="F689"/>
  <c r="F688" s="1"/>
  <c r="F687" s="1"/>
  <c r="G686"/>
  <c r="F686"/>
  <c r="G685"/>
  <c r="F685"/>
  <c r="G683"/>
  <c r="G682" s="1"/>
  <c r="F683"/>
  <c r="F682" s="1"/>
  <c r="G680"/>
  <c r="F680"/>
  <c r="G679"/>
  <c r="F679"/>
  <c r="G677"/>
  <c r="G676" s="1"/>
  <c r="F677"/>
  <c r="F676" s="1"/>
  <c r="G675"/>
  <c r="G674" s="1"/>
  <c r="F675"/>
  <c r="F674" s="1"/>
  <c r="G670"/>
  <c r="F670"/>
  <c r="G669"/>
  <c r="F669"/>
  <c r="G666"/>
  <c r="G665" s="1"/>
  <c r="G664" s="1"/>
  <c r="F666"/>
  <c r="F665" s="1"/>
  <c r="F664" s="1"/>
  <c r="G663"/>
  <c r="G662" s="1"/>
  <c r="G661" s="1"/>
  <c r="F663"/>
  <c r="F662" s="1"/>
  <c r="F661" s="1"/>
  <c r="G658"/>
  <c r="G657" s="1"/>
  <c r="G656" s="1"/>
  <c r="F658"/>
  <c r="F657" s="1"/>
  <c r="F656" s="1"/>
  <c r="G655"/>
  <c r="G654" s="1"/>
  <c r="F655"/>
  <c r="F654" s="1"/>
  <c r="G653"/>
  <c r="G652" s="1"/>
  <c r="F653"/>
  <c r="F652" s="1"/>
  <c r="G650"/>
  <c r="F650"/>
  <c r="G649"/>
  <c r="F649"/>
  <c r="F648" s="1"/>
  <c r="F647" s="1"/>
  <c r="G646"/>
  <c r="F646"/>
  <c r="G645"/>
  <c r="F645"/>
  <c r="G640"/>
  <c r="G639" s="1"/>
  <c r="G638" s="1"/>
  <c r="G637" s="1"/>
  <c r="F640"/>
  <c r="F639" s="1"/>
  <c r="F638" s="1"/>
  <c r="F637" s="1"/>
  <c r="G635"/>
  <c r="G634" s="1"/>
  <c r="G633" s="1"/>
  <c r="F635"/>
  <c r="F634" s="1"/>
  <c r="F633" s="1"/>
  <c r="G632"/>
  <c r="F632"/>
  <c r="G631"/>
  <c r="F631"/>
  <c r="G629"/>
  <c r="G628" s="1"/>
  <c r="F629"/>
  <c r="F628" s="1"/>
  <c r="G625"/>
  <c r="F625"/>
  <c r="G620"/>
  <c r="G619" s="1"/>
  <c r="F620"/>
  <c r="F619" s="1"/>
  <c r="G615"/>
  <c r="G614" s="1"/>
  <c r="F615"/>
  <c r="F614" s="1"/>
  <c r="G613"/>
  <c r="G612" s="1"/>
  <c r="F613"/>
  <c r="F612" s="1"/>
  <c r="G607"/>
  <c r="G606" s="1"/>
  <c r="G605" s="1"/>
  <c r="F607"/>
  <c r="F606" s="1"/>
  <c r="F605" s="1"/>
  <c r="G604"/>
  <c r="G603" s="1"/>
  <c r="F604"/>
  <c r="F603" s="1"/>
  <c r="G602"/>
  <c r="G601" s="1"/>
  <c r="F602"/>
  <c r="F601" s="1"/>
  <c r="G599"/>
  <c r="G598" s="1"/>
  <c r="F599"/>
  <c r="F598"/>
  <c r="G597"/>
  <c r="G596" s="1"/>
  <c r="F597"/>
  <c r="F596" s="1"/>
  <c r="G594"/>
  <c r="G593" s="1"/>
  <c r="F594"/>
  <c r="F593" s="1"/>
  <c r="G592"/>
  <c r="G591" s="1"/>
  <c r="F592"/>
  <c r="F591" s="1"/>
  <c r="G589"/>
  <c r="G588" s="1"/>
  <c r="F589"/>
  <c r="F588" s="1"/>
  <c r="G587"/>
  <c r="G586" s="1"/>
  <c r="F587"/>
  <c r="F586" s="1"/>
  <c r="G584"/>
  <c r="G583" s="1"/>
  <c r="F584"/>
  <c r="F583" s="1"/>
  <c r="G582"/>
  <c r="G581" s="1"/>
  <c r="F582"/>
  <c r="F581" s="1"/>
  <c r="G579"/>
  <c r="G578" s="1"/>
  <c r="F579"/>
  <c r="F578" s="1"/>
  <c r="G577"/>
  <c r="G576" s="1"/>
  <c r="F577"/>
  <c r="F576" s="1"/>
  <c r="G574"/>
  <c r="G573" s="1"/>
  <c r="F574"/>
  <c r="F573" s="1"/>
  <c r="G572"/>
  <c r="G571" s="1"/>
  <c r="F572"/>
  <c r="F571" s="1"/>
  <c r="G569"/>
  <c r="G568" s="1"/>
  <c r="F569"/>
  <c r="F568" s="1"/>
  <c r="G567"/>
  <c r="G566" s="1"/>
  <c r="F567"/>
  <c r="F566" s="1"/>
  <c r="G564"/>
  <c r="G563" s="1"/>
  <c r="F564"/>
  <c r="F563" s="1"/>
  <c r="G562"/>
  <c r="G561" s="1"/>
  <c r="F562"/>
  <c r="F561" s="1"/>
  <c r="G559"/>
  <c r="G558" s="1"/>
  <c r="F559"/>
  <c r="F558" s="1"/>
  <c r="G557"/>
  <c r="G556" s="1"/>
  <c r="F557"/>
  <c r="F556" s="1"/>
  <c r="G554"/>
  <c r="G553" s="1"/>
  <c r="F554"/>
  <c r="F553" s="1"/>
  <c r="G552"/>
  <c r="G551" s="1"/>
  <c r="F552"/>
  <c r="F551" s="1"/>
  <c r="G549"/>
  <c r="G548" s="1"/>
  <c r="F549"/>
  <c r="F548" s="1"/>
  <c r="G547"/>
  <c r="F547"/>
  <c r="F546" s="1"/>
  <c r="G546"/>
  <c r="G544"/>
  <c r="G543" s="1"/>
  <c r="F544"/>
  <c r="F543" s="1"/>
  <c r="G542"/>
  <c r="G541" s="1"/>
  <c r="F542"/>
  <c r="F541" s="1"/>
  <c r="G539"/>
  <c r="G538" s="1"/>
  <c r="F539"/>
  <c r="F538" s="1"/>
  <c r="G537"/>
  <c r="G536" s="1"/>
  <c r="F537"/>
  <c r="F536" s="1"/>
  <c r="G534"/>
  <c r="G533" s="1"/>
  <c r="F534"/>
  <c r="F533" s="1"/>
  <c r="G532"/>
  <c r="G531" s="1"/>
  <c r="F532"/>
  <c r="F531" s="1"/>
  <c r="G529"/>
  <c r="G528" s="1"/>
  <c r="F529"/>
  <c r="F528" s="1"/>
  <c r="G527"/>
  <c r="G526" s="1"/>
  <c r="F527"/>
  <c r="F526" s="1"/>
  <c r="F525" s="1"/>
  <c r="G522"/>
  <c r="G521" s="1"/>
  <c r="F522"/>
  <c r="F521" s="1"/>
  <c r="G519"/>
  <c r="G518" s="1"/>
  <c r="F519"/>
  <c r="F518" s="1"/>
  <c r="G517"/>
  <c r="G516" s="1"/>
  <c r="F517"/>
  <c r="F516" s="1"/>
  <c r="G514"/>
  <c r="G513" s="1"/>
  <c r="F514"/>
  <c r="F513" s="1"/>
  <c r="G512"/>
  <c r="G511" s="1"/>
  <c r="F512"/>
  <c r="F511" s="1"/>
  <c r="G509"/>
  <c r="G508" s="1"/>
  <c r="F509"/>
  <c r="F508" s="1"/>
  <c r="G507"/>
  <c r="G506" s="1"/>
  <c r="F507"/>
  <c r="F506" s="1"/>
  <c r="F504"/>
  <c r="F503" s="1"/>
  <c r="G502"/>
  <c r="G501" s="1"/>
  <c r="F502"/>
  <c r="F501" s="1"/>
  <c r="G499"/>
  <c r="G498" s="1"/>
  <c r="G497" s="1"/>
  <c r="F499"/>
  <c r="F498" s="1"/>
  <c r="F497" s="1"/>
  <c r="G494"/>
  <c r="G493" s="1"/>
  <c r="F494"/>
  <c r="F493" s="1"/>
  <c r="G491"/>
  <c r="G490" s="1"/>
  <c r="F491"/>
  <c r="F490" s="1"/>
  <c r="G489"/>
  <c r="G488" s="1"/>
  <c r="F489"/>
  <c r="F488" s="1"/>
  <c r="G484"/>
  <c r="G483" s="1"/>
  <c r="F484"/>
  <c r="F483" s="1"/>
  <c r="G481"/>
  <c r="G480" s="1"/>
  <c r="F481"/>
  <c r="F480" s="1"/>
  <c r="G479"/>
  <c r="G478" s="1"/>
  <c r="F479"/>
  <c r="F478" s="1"/>
  <c r="G476"/>
  <c r="G475" s="1"/>
  <c r="G474" s="1"/>
  <c r="F476"/>
  <c r="F475" s="1"/>
  <c r="F474" s="1"/>
  <c r="G473"/>
  <c r="G472" s="1"/>
  <c r="F473"/>
  <c r="F472" s="1"/>
  <c r="G471"/>
  <c r="G470" s="1"/>
  <c r="F471"/>
  <c r="F470" s="1"/>
  <c r="F469" s="1"/>
  <c r="G468"/>
  <c r="G467" s="1"/>
  <c r="F468"/>
  <c r="F467" s="1"/>
  <c r="G466"/>
  <c r="G465" s="1"/>
  <c r="F466"/>
  <c r="F465" s="1"/>
  <c r="G463"/>
  <c r="F463"/>
  <c r="F462" s="1"/>
  <c r="G462"/>
  <c r="G461"/>
  <c r="G460" s="1"/>
  <c r="F461"/>
  <c r="F460" s="1"/>
  <c r="G458"/>
  <c r="G457" s="1"/>
  <c r="F458"/>
  <c r="F457" s="1"/>
  <c r="G456"/>
  <c r="G455" s="1"/>
  <c r="F456"/>
  <c r="F455" s="1"/>
  <c r="G453"/>
  <c r="G452" s="1"/>
  <c r="F453"/>
  <c r="F452" s="1"/>
  <c r="G451"/>
  <c r="G450" s="1"/>
  <c r="F451"/>
  <c r="F450" s="1"/>
  <c r="G448"/>
  <c r="G447" s="1"/>
  <c r="F448"/>
  <c r="F447" s="1"/>
  <c r="G446"/>
  <c r="G445" s="1"/>
  <c r="F446"/>
  <c r="F445" s="1"/>
  <c r="G443"/>
  <c r="G442" s="1"/>
  <c r="F443"/>
  <c r="F442" s="1"/>
  <c r="G441"/>
  <c r="G440" s="1"/>
  <c r="F441"/>
  <c r="F440" s="1"/>
  <c r="G438"/>
  <c r="G437" s="1"/>
  <c r="F438"/>
  <c r="F437" s="1"/>
  <c r="G436"/>
  <c r="G435" s="1"/>
  <c r="F436"/>
  <c r="F435" s="1"/>
  <c r="G433"/>
  <c r="G432" s="1"/>
  <c r="G431" s="1"/>
  <c r="F433"/>
  <c r="F432" s="1"/>
  <c r="F431" s="1"/>
  <c r="G430"/>
  <c r="G429" s="1"/>
  <c r="G428" s="1"/>
  <c r="F430"/>
  <c r="F429" s="1"/>
  <c r="F428" s="1"/>
  <c r="G427"/>
  <c r="G426" s="1"/>
  <c r="G425" s="1"/>
  <c r="F427"/>
  <c r="F426" s="1"/>
  <c r="F425" s="1"/>
  <c r="G422"/>
  <c r="G421" s="1"/>
  <c r="G420" s="1"/>
  <c r="F422"/>
  <c r="F421" s="1"/>
  <c r="F420" s="1"/>
  <c r="G419"/>
  <c r="G418" s="1"/>
  <c r="G417" s="1"/>
  <c r="F419"/>
  <c r="F418" s="1"/>
  <c r="F417" s="1"/>
  <c r="G416"/>
  <c r="G415" s="1"/>
  <c r="G414" s="1"/>
  <c r="F416"/>
  <c r="F415" s="1"/>
  <c r="F414" s="1"/>
  <c r="G413"/>
  <c r="G412" s="1"/>
  <c r="F413"/>
  <c r="F412" s="1"/>
  <c r="G411"/>
  <c r="G410" s="1"/>
  <c r="F411"/>
  <c r="F410" s="1"/>
  <c r="G408"/>
  <c r="G407" s="1"/>
  <c r="G406" s="1"/>
  <c r="F408"/>
  <c r="F407" s="1"/>
  <c r="F406" s="1"/>
  <c r="G404"/>
  <c r="F404"/>
  <c r="G399"/>
  <c r="G398" s="1"/>
  <c r="F399"/>
  <c r="F398"/>
  <c r="G397"/>
  <c r="G396" s="1"/>
  <c r="F397"/>
  <c r="F396" s="1"/>
  <c r="G392"/>
  <c r="G391" s="1"/>
  <c r="G390" s="1"/>
  <c r="F392"/>
  <c r="F391" s="1"/>
  <c r="F390" s="1"/>
  <c r="G386"/>
  <c r="G385" s="1"/>
  <c r="G384" s="1"/>
  <c r="F386"/>
  <c r="F385" s="1"/>
  <c r="F384" s="1"/>
  <c r="G383"/>
  <c r="G382" s="1"/>
  <c r="G381" s="1"/>
  <c r="F383"/>
  <c r="F382" s="1"/>
  <c r="F381" s="1"/>
  <c r="G380"/>
  <c r="G379" s="1"/>
  <c r="G378" s="1"/>
  <c r="F380"/>
  <c r="F379" s="1"/>
  <c r="F378" s="1"/>
  <c r="G377"/>
  <c r="G376" s="1"/>
  <c r="G375" s="1"/>
  <c r="F377"/>
  <c r="F376" s="1"/>
  <c r="F375" s="1"/>
  <c r="G374"/>
  <c r="G373" s="1"/>
  <c r="G372" s="1"/>
  <c r="F374"/>
  <c r="F373" s="1"/>
  <c r="F372" s="1"/>
  <c r="G371"/>
  <c r="G370" s="1"/>
  <c r="G369" s="1"/>
  <c r="F371"/>
  <c r="F370" s="1"/>
  <c r="F369" s="1"/>
  <c r="G368"/>
  <c r="G367" s="1"/>
  <c r="G366" s="1"/>
  <c r="F368"/>
  <c r="F367" s="1"/>
  <c r="F366" s="1"/>
  <c r="G365"/>
  <c r="G364" s="1"/>
  <c r="G363" s="1"/>
  <c r="F365"/>
  <c r="F364" s="1"/>
  <c r="F363" s="1"/>
  <c r="G362"/>
  <c r="G361" s="1"/>
  <c r="G360" s="1"/>
  <c r="F362"/>
  <c r="F361" s="1"/>
  <c r="F360" s="1"/>
  <c r="G357"/>
  <c r="G356" s="1"/>
  <c r="G355" s="1"/>
  <c r="F357"/>
  <c r="F356" s="1"/>
  <c r="F355" s="1"/>
  <c r="G354"/>
  <c r="G353" s="1"/>
  <c r="G352" s="1"/>
  <c r="F354"/>
  <c r="F353" s="1"/>
  <c r="F352" s="1"/>
  <c r="G349"/>
  <c r="G348" s="1"/>
  <c r="F349"/>
  <c r="F348" s="1"/>
  <c r="G347"/>
  <c r="G346" s="1"/>
  <c r="F347"/>
  <c r="F346" s="1"/>
  <c r="G344"/>
  <c r="F344"/>
  <c r="G343"/>
  <c r="F343"/>
  <c r="G342"/>
  <c r="F342"/>
  <c r="G337"/>
  <c r="G336" s="1"/>
  <c r="G335" s="1"/>
  <c r="F337"/>
  <c r="F336" s="1"/>
  <c r="F335" s="1"/>
  <c r="G334"/>
  <c r="G333" s="1"/>
  <c r="G332" s="1"/>
  <c r="F334"/>
  <c r="F333" s="1"/>
  <c r="F332" s="1"/>
  <c r="G331"/>
  <c r="G330" s="1"/>
  <c r="G329" s="1"/>
  <c r="F331"/>
  <c r="F330" s="1"/>
  <c r="F329" s="1"/>
  <c r="G328"/>
  <c r="G327" s="1"/>
  <c r="F328"/>
  <c r="F327" s="1"/>
  <c r="G326"/>
  <c r="F326"/>
  <c r="G325"/>
  <c r="F325"/>
  <c r="G323"/>
  <c r="G322" s="1"/>
  <c r="F323"/>
  <c r="F322" s="1"/>
  <c r="G320"/>
  <c r="G319" s="1"/>
  <c r="G318" s="1"/>
  <c r="F320"/>
  <c r="F319" s="1"/>
  <c r="F318" s="1"/>
  <c r="G316"/>
  <c r="F316"/>
  <c r="G314"/>
  <c r="G313" s="1"/>
  <c r="F314"/>
  <c r="F313" s="1"/>
  <c r="G312"/>
  <c r="G311" s="1"/>
  <c r="F312"/>
  <c r="F311" s="1"/>
  <c r="G307"/>
  <c r="G306" s="1"/>
  <c r="F307"/>
  <c r="F306" s="1"/>
  <c r="G302"/>
  <c r="G301" s="1"/>
  <c r="G300" s="1"/>
  <c r="F302"/>
  <c r="F301" s="1"/>
  <c r="F300" s="1"/>
  <c r="G297"/>
  <c r="G296" s="1"/>
  <c r="G295" s="1"/>
  <c r="F297"/>
  <c r="F296" s="1"/>
  <c r="F295" s="1"/>
  <c r="G294"/>
  <c r="G292" s="1"/>
  <c r="G291" s="1"/>
  <c r="F294"/>
  <c r="G293"/>
  <c r="F293"/>
  <c r="G290"/>
  <c r="G289" s="1"/>
  <c r="G288" s="1"/>
  <c r="F290"/>
  <c r="F289" s="1"/>
  <c r="F288" s="1"/>
  <c r="G287"/>
  <c r="G286" s="1"/>
  <c r="G285" s="1"/>
  <c r="F287"/>
  <c r="F286" s="1"/>
  <c r="F285" s="1"/>
  <c r="G280"/>
  <c r="G279" s="1"/>
  <c r="G278" s="1"/>
  <c r="F280"/>
  <c r="F279" s="1"/>
  <c r="F278" s="1"/>
  <c r="G277"/>
  <c r="G276" s="1"/>
  <c r="G275" s="1"/>
  <c r="F277"/>
  <c r="F276" s="1"/>
  <c r="F275" s="1"/>
  <c r="G272"/>
  <c r="G271" s="1"/>
  <c r="G270" s="1"/>
  <c r="F272"/>
  <c r="F271" s="1"/>
  <c r="F270" s="1"/>
  <c r="G269"/>
  <c r="G268" s="1"/>
  <c r="F269"/>
  <c r="F268" s="1"/>
  <c r="G267"/>
  <c r="G266" s="1"/>
  <c r="F267"/>
  <c r="F266" s="1"/>
  <c r="G265"/>
  <c r="G264" s="1"/>
  <c r="F265"/>
  <c r="F264" s="1"/>
  <c r="G262"/>
  <c r="G261" s="1"/>
  <c r="G260" s="1"/>
  <c r="F262"/>
  <c r="F261" s="1"/>
  <c r="F260" s="1"/>
  <c r="G259"/>
  <c r="G258" s="1"/>
  <c r="G257" s="1"/>
  <c r="F259"/>
  <c r="F258" s="1"/>
  <c r="F257" s="1"/>
  <c r="G256"/>
  <c r="G255" s="1"/>
  <c r="G254" s="1"/>
  <c r="F256"/>
  <c r="F255" s="1"/>
  <c r="F254" s="1"/>
  <c r="G253"/>
  <c r="G252" s="1"/>
  <c r="G251" s="1"/>
  <c r="F253"/>
  <c r="F252" s="1"/>
  <c r="F251" s="1"/>
  <c r="G250"/>
  <c r="G249" s="1"/>
  <c r="F250"/>
  <c r="F249" s="1"/>
  <c r="G248"/>
  <c r="G247" s="1"/>
  <c r="G246" s="1"/>
  <c r="F248"/>
  <c r="F247" s="1"/>
  <c r="G245"/>
  <c r="G244" s="1"/>
  <c r="G243" s="1"/>
  <c r="F245"/>
  <c r="F244" s="1"/>
  <c r="F243" s="1"/>
  <c r="G242"/>
  <c r="G241" s="1"/>
  <c r="F242"/>
  <c r="F241" s="1"/>
  <c r="G240"/>
  <c r="G239" s="1"/>
  <c r="F240"/>
  <c r="F239" s="1"/>
  <c r="G237"/>
  <c r="G236" s="1"/>
  <c r="F237"/>
  <c r="F236" s="1"/>
  <c r="G235"/>
  <c r="G234" s="1"/>
  <c r="F235"/>
  <c r="F234" s="1"/>
  <c r="G232"/>
  <c r="F232"/>
  <c r="G231"/>
  <c r="F231"/>
  <c r="G229"/>
  <c r="G228" s="1"/>
  <c r="F229"/>
  <c r="F228" s="1"/>
  <c r="G226"/>
  <c r="G225" s="1"/>
  <c r="G224" s="1"/>
  <c r="F226"/>
  <c r="F225" s="1"/>
  <c r="F224" s="1"/>
  <c r="G223"/>
  <c r="G222" s="1"/>
  <c r="G221" s="1"/>
  <c r="F223"/>
  <c r="F222" s="1"/>
  <c r="F221" s="1"/>
  <c r="G220"/>
  <c r="F220"/>
  <c r="F219" s="1"/>
  <c r="F218" s="1"/>
  <c r="G219"/>
  <c r="G218" s="1"/>
  <c r="G217"/>
  <c r="G216" s="1"/>
  <c r="F217"/>
  <c r="F216" s="1"/>
  <c r="G215"/>
  <c r="G214" s="1"/>
  <c r="F215"/>
  <c r="F214" s="1"/>
  <c r="G212"/>
  <c r="G211" s="1"/>
  <c r="G210" s="1"/>
  <c r="F212"/>
  <c r="F211" s="1"/>
  <c r="F210" s="1"/>
  <c r="G209"/>
  <c r="G208" s="1"/>
  <c r="F209"/>
  <c r="F208" s="1"/>
  <c r="G207"/>
  <c r="G206" s="1"/>
  <c r="F207"/>
  <c r="F206" s="1"/>
  <c r="G205"/>
  <c r="G204" s="1"/>
  <c r="F205"/>
  <c r="F204" s="1"/>
  <c r="G200"/>
  <c r="G199" s="1"/>
  <c r="G198" s="1"/>
  <c r="F200"/>
  <c r="F199" s="1"/>
  <c r="F198" s="1"/>
  <c r="G197"/>
  <c r="G196" s="1"/>
  <c r="G195" s="1"/>
  <c r="F197"/>
  <c r="F196" s="1"/>
  <c r="F195" s="1"/>
  <c r="G194"/>
  <c r="G193" s="1"/>
  <c r="G192" s="1"/>
  <c r="F194"/>
  <c r="F193" s="1"/>
  <c r="F192" s="1"/>
  <c r="G191"/>
  <c r="G190" s="1"/>
  <c r="G189" s="1"/>
  <c r="F191"/>
  <c r="F190" s="1"/>
  <c r="F189" s="1"/>
  <c r="G188"/>
  <c r="G187" s="1"/>
  <c r="G186" s="1"/>
  <c r="F188"/>
  <c r="F187" s="1"/>
  <c r="F186" s="1"/>
  <c r="G185"/>
  <c r="F185"/>
  <c r="G184"/>
  <c r="F184"/>
  <c r="F183" s="1"/>
  <c r="F182" s="1"/>
  <c r="G181"/>
  <c r="G180" s="1"/>
  <c r="G179" s="1"/>
  <c r="F181"/>
  <c r="F180" s="1"/>
  <c r="F179" s="1"/>
  <c r="G177"/>
  <c r="G174"/>
  <c r="G173" s="1"/>
  <c r="G172" s="1"/>
  <c r="F174"/>
  <c r="F173" s="1"/>
  <c r="F172" s="1"/>
  <c r="G171"/>
  <c r="G170" s="1"/>
  <c r="G169" s="1"/>
  <c r="F171"/>
  <c r="F170" s="1"/>
  <c r="F169" s="1"/>
  <c r="G165"/>
  <c r="G164" s="1"/>
  <c r="F165"/>
  <c r="F164" s="1"/>
  <c r="F163"/>
  <c r="F162" s="1"/>
  <c r="G160"/>
  <c r="G159" s="1"/>
  <c r="G158" s="1"/>
  <c r="F160"/>
  <c r="F159" s="1"/>
  <c r="F158" s="1"/>
  <c r="G157"/>
  <c r="G156" s="1"/>
  <c r="G155" s="1"/>
  <c r="F157"/>
  <c r="F156" s="1"/>
  <c r="F155" s="1"/>
  <c r="G152"/>
  <c r="G151" s="1"/>
  <c r="F152"/>
  <c r="F151" s="1"/>
  <c r="G150"/>
  <c r="G149" s="1"/>
  <c r="F150"/>
  <c r="F149" s="1"/>
  <c r="G145"/>
  <c r="F145"/>
  <c r="G144"/>
  <c r="F144"/>
  <c r="G142"/>
  <c r="G141" s="1"/>
  <c r="F142"/>
  <c r="F141" s="1"/>
  <c r="G140"/>
  <c r="G139" s="1"/>
  <c r="F140"/>
  <c r="F139" s="1"/>
  <c r="G135"/>
  <c r="G134" s="1"/>
  <c r="F135"/>
  <c r="F134" s="1"/>
  <c r="G128"/>
  <c r="G127" s="1"/>
  <c r="F128"/>
  <c r="F127" s="1"/>
  <c r="G126"/>
  <c r="G125" s="1"/>
  <c r="F126"/>
  <c r="F125" s="1"/>
  <c r="G123"/>
  <c r="G122" s="1"/>
  <c r="G121" s="1"/>
  <c r="F123"/>
  <c r="F122" s="1"/>
  <c r="F121" s="1"/>
  <c r="G120"/>
  <c r="G119" s="1"/>
  <c r="G118" s="1"/>
  <c r="F120"/>
  <c r="F119" s="1"/>
  <c r="F118" s="1"/>
  <c r="G117"/>
  <c r="G116" s="1"/>
  <c r="G115" s="1"/>
  <c r="F117"/>
  <c r="F116" s="1"/>
  <c r="F115" s="1"/>
  <c r="G114"/>
  <c r="G113" s="1"/>
  <c r="G112" s="1"/>
  <c r="F114"/>
  <c r="F113" s="1"/>
  <c r="F112" s="1"/>
  <c r="G111"/>
  <c r="G110" s="1"/>
  <c r="F111"/>
  <c r="F110" s="1"/>
  <c r="G109"/>
  <c r="G108" s="1"/>
  <c r="F109"/>
  <c r="F108" s="1"/>
  <c r="G106"/>
  <c r="G105" s="1"/>
  <c r="G104" s="1"/>
  <c r="F106"/>
  <c r="F105" s="1"/>
  <c r="F104" s="1"/>
  <c r="G101"/>
  <c r="F101"/>
  <c r="G100"/>
  <c r="F100"/>
  <c r="G98"/>
  <c r="G97" s="1"/>
  <c r="F98"/>
  <c r="F97" s="1"/>
  <c r="G95"/>
  <c r="F95"/>
  <c r="G94"/>
  <c r="F94"/>
  <c r="G92"/>
  <c r="F92"/>
  <c r="G91"/>
  <c r="F91"/>
  <c r="G89"/>
  <c r="G88" s="1"/>
  <c r="F89"/>
  <c r="F88" s="1"/>
  <c r="G86"/>
  <c r="G85" s="1"/>
  <c r="G84" s="1"/>
  <c r="F86"/>
  <c r="F85" s="1"/>
  <c r="F84" s="1"/>
  <c r="G81"/>
  <c r="G80" s="1"/>
  <c r="G79" s="1"/>
  <c r="G78" s="1"/>
  <c r="F81"/>
  <c r="F80" s="1"/>
  <c r="F79" s="1"/>
  <c r="F78" s="1"/>
  <c r="G76"/>
  <c r="F76"/>
  <c r="G75"/>
  <c r="F75"/>
  <c r="G70"/>
  <c r="G69" s="1"/>
  <c r="G68" s="1"/>
  <c r="F70"/>
  <c r="F69" s="1"/>
  <c r="F68" s="1"/>
  <c r="G67"/>
  <c r="G66" s="1"/>
  <c r="F67"/>
  <c r="F66" s="1"/>
  <c r="G63"/>
  <c r="G62" s="1"/>
  <c r="F63"/>
  <c r="F62" s="1"/>
  <c r="G61"/>
  <c r="F61"/>
  <c r="F60" s="1"/>
  <c r="G60"/>
  <c r="G54"/>
  <c r="G53" s="1"/>
  <c r="G52" s="1"/>
  <c r="F54"/>
  <c r="F53" s="1"/>
  <c r="F52" s="1"/>
  <c r="G48"/>
  <c r="G47" s="1"/>
  <c r="F48"/>
  <c r="F47" s="1"/>
  <c r="G46"/>
  <c r="G45" s="1"/>
  <c r="F46"/>
  <c r="F45" s="1"/>
  <c r="G43"/>
  <c r="F43"/>
  <c r="G42"/>
  <c r="F42"/>
  <c r="F41" s="1"/>
  <c r="F40" s="1"/>
  <c r="G39"/>
  <c r="F39"/>
  <c r="G38"/>
  <c r="F38"/>
  <c r="F37" s="1"/>
  <c r="F36" s="1"/>
  <c r="G35"/>
  <c r="G34" s="1"/>
  <c r="G33" s="1"/>
  <c r="F35"/>
  <c r="F34" s="1"/>
  <c r="F33" s="1"/>
  <c r="G30"/>
  <c r="G29" s="1"/>
  <c r="G28" s="1"/>
  <c r="F30"/>
  <c r="F29" s="1"/>
  <c r="F28" s="1"/>
  <c r="G27"/>
  <c r="G26" s="1"/>
  <c r="G25" s="1"/>
  <c r="F27"/>
  <c r="F26" s="1"/>
  <c r="F25" s="1"/>
  <c r="G24"/>
  <c r="G23" s="1"/>
  <c r="G22" s="1"/>
  <c r="F24"/>
  <c r="F23" s="1"/>
  <c r="F22" s="1"/>
  <c r="G21"/>
  <c r="G20" s="1"/>
  <c r="G19" s="1"/>
  <c r="F21"/>
  <c r="F20" s="1"/>
  <c r="F19" s="1"/>
  <c r="G18"/>
  <c r="G17" s="1"/>
  <c r="G16" s="1"/>
  <c r="F18"/>
  <c r="F17" s="1"/>
  <c r="F16" s="1"/>
  <c r="G15"/>
  <c r="G14" s="1"/>
  <c r="G13" s="1"/>
  <c r="F15"/>
  <c r="F14" s="1"/>
  <c r="F13" s="1"/>
  <c r="F73" i="3"/>
  <c r="J2975" i="1"/>
  <c r="I2975"/>
  <c r="F1410" i="2" s="1"/>
  <c r="F1409" s="1"/>
  <c r="I2966" i="1"/>
  <c r="J2961"/>
  <c r="I2961"/>
  <c r="M2961" s="1"/>
  <c r="I2956"/>
  <c r="J2956"/>
  <c r="J2945"/>
  <c r="G2107" i="2" s="1"/>
  <c r="I2945" i="1"/>
  <c r="F2107" i="2" s="1"/>
  <c r="J2937" i="1"/>
  <c r="G1429" i="2" s="1"/>
  <c r="G1428" s="1"/>
  <c r="I2937" i="1"/>
  <c r="M2937" s="1"/>
  <c r="J2930"/>
  <c r="G1422" i="2" s="1"/>
  <c r="G1421" s="1"/>
  <c r="I2930" i="1"/>
  <c r="F1422" i="2" s="1"/>
  <c r="F1421" s="1"/>
  <c r="J2921" i="1"/>
  <c r="G1057" i="2" s="1"/>
  <c r="G1056" s="1"/>
  <c r="I2921" i="1"/>
  <c r="F1057" i="2" s="1"/>
  <c r="F1056" s="1"/>
  <c r="J2917" i="1"/>
  <c r="I2917"/>
  <c r="M2917" s="1"/>
  <c r="J2893"/>
  <c r="I2893"/>
  <c r="M2893" s="1"/>
  <c r="J2890"/>
  <c r="G1822" i="2" s="1"/>
  <c r="G1821" s="1"/>
  <c r="I2890" i="1"/>
  <c r="M2890" s="1"/>
  <c r="J2874"/>
  <c r="I2874"/>
  <c r="M2874" s="1"/>
  <c r="J2858"/>
  <c r="G1861" i="2" s="1"/>
  <c r="G1860" s="1"/>
  <c r="I2858" i="1"/>
  <c r="F1861" i="2" s="1"/>
  <c r="F1860" s="1"/>
  <c r="J2821" i="1"/>
  <c r="G1543" i="2" s="1"/>
  <c r="G1542" s="1"/>
  <c r="I2821" i="1"/>
  <c r="M2821" s="1"/>
  <c r="J2812"/>
  <c r="G1882" i="2" s="1"/>
  <c r="G1881" s="1"/>
  <c r="I2812" i="1"/>
  <c r="M2812" s="1"/>
  <c r="K2809"/>
  <c r="J2809"/>
  <c r="I2809"/>
  <c r="J2808"/>
  <c r="G1880" i="2" s="1"/>
  <c r="G1877" s="1"/>
  <c r="I2808" i="1"/>
  <c r="F1880" i="2" s="1"/>
  <c r="F1877" s="1"/>
  <c r="J2806" i="1"/>
  <c r="I2806"/>
  <c r="F1876" i="2" s="1"/>
  <c r="F1875" s="1"/>
  <c r="J2769" i="1"/>
  <c r="G1723" i="2" s="1"/>
  <c r="G1722" s="1"/>
  <c r="I2769" i="1"/>
  <c r="F1723" i="2" s="1"/>
  <c r="F1722" s="1"/>
  <c r="J2765" i="1"/>
  <c r="G1717" i="2" s="1"/>
  <c r="G1716" s="1"/>
  <c r="I2765" i="1"/>
  <c r="F1717" i="2" s="1"/>
  <c r="F1716" s="1"/>
  <c r="J2733" i="1"/>
  <c r="G1712" i="2" s="1"/>
  <c r="G1711" s="1"/>
  <c r="I2733" i="1"/>
  <c r="F1712" i="2" s="1"/>
  <c r="F1711" s="1"/>
  <c r="J2722" i="1"/>
  <c r="G2041" i="2" s="1"/>
  <c r="G2039" s="1"/>
  <c r="I2722" i="1"/>
  <c r="J2717"/>
  <c r="G2036" i="2" s="1"/>
  <c r="G2035" s="1"/>
  <c r="I2717" i="1"/>
  <c r="M2717" s="1"/>
  <c r="J2700"/>
  <c r="G1614" i="2" s="1"/>
  <c r="G1613" s="1"/>
  <c r="I2700" i="1"/>
  <c r="J2696"/>
  <c r="G1610" i="2" s="1"/>
  <c r="G1609" s="1"/>
  <c r="I2696" i="1"/>
  <c r="F1610" i="2" s="1"/>
  <c r="F1609" s="1"/>
  <c r="J2683" i="1"/>
  <c r="G2065" i="2" s="1"/>
  <c r="G2064" s="1"/>
  <c r="J2687" i="1"/>
  <c r="G2069" i="2" s="1"/>
  <c r="G2068" s="1"/>
  <c r="I2687" i="1"/>
  <c r="F2069" i="2" s="1"/>
  <c r="F2068" s="1"/>
  <c r="I2683" i="1"/>
  <c r="F2065" i="2" s="1"/>
  <c r="F2064" s="1"/>
  <c r="I2662" i="1"/>
  <c r="J2657"/>
  <c r="G1438" i="2" s="1"/>
  <c r="G1437" s="1"/>
  <c r="I2657" i="1"/>
  <c r="F1438" i="2" s="1"/>
  <c r="F1437" s="1"/>
  <c r="J2643" i="1"/>
  <c r="G2074" i="2" s="1"/>
  <c r="G2073" s="1"/>
  <c r="I2643" i="1"/>
  <c r="M2643" s="1"/>
  <c r="J2565"/>
  <c r="G2110" i="2" s="1"/>
  <c r="G2109" s="1"/>
  <c r="I2565" i="1"/>
  <c r="F2110" i="2" s="1"/>
  <c r="F2109" s="1"/>
  <c r="J2561" i="1"/>
  <c r="G1906" i="2" s="1"/>
  <c r="I2561" i="1"/>
  <c r="F1906" i="2" s="1"/>
  <c r="J2556" i="1"/>
  <c r="G1899" i="2" s="1"/>
  <c r="G1898" s="1"/>
  <c r="I2556" i="1"/>
  <c r="F1899" i="2" s="1"/>
  <c r="F1898" s="1"/>
  <c r="J2553" i="1"/>
  <c r="G1891" i="2" s="1"/>
  <c r="G1890" s="1"/>
  <c r="I2553" i="1"/>
  <c r="J2549"/>
  <c r="I2549"/>
  <c r="M2549" s="1"/>
  <c r="J2527"/>
  <c r="G1836" i="2" s="1"/>
  <c r="G1835" s="1"/>
  <c r="I2527" i="1"/>
  <c r="F1836" i="2" s="1"/>
  <c r="F1835" s="1"/>
  <c r="K2467" i="1"/>
  <c r="J2467"/>
  <c r="I2467"/>
  <c r="J2464"/>
  <c r="I2464"/>
  <c r="M2464" s="1"/>
  <c r="J2456"/>
  <c r="G2100" i="2" s="1"/>
  <c r="G2099" s="1"/>
  <c r="I2456" i="1"/>
  <c r="M2456" s="1"/>
  <c r="J2450"/>
  <c r="G2094" i="2" s="1"/>
  <c r="G2093" s="1"/>
  <c r="I2450" i="1"/>
  <c r="F2094" i="2" s="1"/>
  <c r="F2093" s="1"/>
  <c r="I2444" i="1"/>
  <c r="M2444" s="1"/>
  <c r="J2431"/>
  <c r="G2084" i="2" s="1"/>
  <c r="G2083" s="1"/>
  <c r="I2434" i="1"/>
  <c r="I2431"/>
  <c r="F2084" i="2" s="1"/>
  <c r="F2083" s="1"/>
  <c r="J2332" i="1"/>
  <c r="I2332"/>
  <c r="F1361" i="2" s="1"/>
  <c r="F1360" s="1"/>
  <c r="J2306" i="1"/>
  <c r="G1184" i="2" s="1"/>
  <c r="I2306" i="1"/>
  <c r="F1184" i="2" s="1"/>
  <c r="J2303" i="1"/>
  <c r="G1181" i="2" s="1"/>
  <c r="G1180" s="1"/>
  <c r="I2303" i="1"/>
  <c r="M2303" s="1"/>
  <c r="J2299"/>
  <c r="I2299"/>
  <c r="F1177" i="2" s="1"/>
  <c r="F1176" s="1"/>
  <c r="J2277" i="1"/>
  <c r="G1215" i="2" s="1"/>
  <c r="G1214" s="1"/>
  <c r="I2277" i="1"/>
  <c r="M2277" s="1"/>
  <c r="J2266"/>
  <c r="G1200" i="2" s="1"/>
  <c r="G1199" s="1"/>
  <c r="I2266" i="1"/>
  <c r="F1200" i="2" s="1"/>
  <c r="F1199" s="1"/>
  <c r="I2264" i="1"/>
  <c r="F1198" i="2" s="1"/>
  <c r="F1197" s="1"/>
  <c r="J2258" i="1"/>
  <c r="G1192" i="2" s="1"/>
  <c r="G1191" s="1"/>
  <c r="I2258" i="1"/>
  <c r="M2258" s="1"/>
  <c r="J2241"/>
  <c r="G1745" i="2" s="1"/>
  <c r="G1744" s="1"/>
  <c r="I2241" i="1"/>
  <c r="M2241" s="1"/>
  <c r="E650" i="2"/>
  <c r="H2193" i="1"/>
  <c r="J2193"/>
  <c r="I2193"/>
  <c r="J2045"/>
  <c r="G524" i="2" s="1"/>
  <c r="G523" s="1"/>
  <c r="I2045" i="1"/>
  <c r="F524" i="2" s="1"/>
  <c r="F523" s="1"/>
  <c r="J2030" i="1"/>
  <c r="G504" i="2" s="1"/>
  <c r="G503" s="1"/>
  <c r="I2030" i="1"/>
  <c r="M2030" s="1"/>
  <c r="J2022"/>
  <c r="G496" i="2" s="1"/>
  <c r="G495" s="1"/>
  <c r="I2022" i="1"/>
  <c r="M2022" s="1"/>
  <c r="J2012"/>
  <c r="G486" i="2" s="1"/>
  <c r="G485" s="1"/>
  <c r="I2012" i="1"/>
  <c r="F486" i="2" s="1"/>
  <c r="F485" s="1"/>
  <c r="J1914" i="1"/>
  <c r="G405" i="2" s="1"/>
  <c r="I1914" i="1"/>
  <c r="F405" i="2" s="1"/>
  <c r="J1911" i="1"/>
  <c r="G402" i="2" s="1"/>
  <c r="I1911" i="1"/>
  <c r="F402" i="2" s="1"/>
  <c r="J1910" i="1"/>
  <c r="G401" i="2" s="1"/>
  <c r="I1910" i="1"/>
  <c r="M1910" s="1"/>
  <c r="J1904"/>
  <c r="G395" i="2" s="1"/>
  <c r="G394" s="1"/>
  <c r="I1904" i="1"/>
  <c r="F395" i="2" s="1"/>
  <c r="F394" s="1"/>
  <c r="J1882" i="1"/>
  <c r="G626" i="2" s="1"/>
  <c r="I1882" i="1"/>
  <c r="F626" i="2" s="1"/>
  <c r="J1878" i="1"/>
  <c r="G622" i="2" s="1"/>
  <c r="G621" s="1"/>
  <c r="I1878" i="1"/>
  <c r="F622" i="2" s="1"/>
  <c r="F621" s="1"/>
  <c r="J1858" i="1"/>
  <c r="G1111" i="2" s="1"/>
  <c r="I1858" i="1"/>
  <c r="J1853"/>
  <c r="I1853"/>
  <c r="F1106" i="2" s="1"/>
  <c r="J1846" i="1"/>
  <c r="G1099" i="2" s="1"/>
  <c r="G1098" s="1"/>
  <c r="I1846" i="1"/>
  <c r="F1099" i="2" s="1"/>
  <c r="F1098" s="1"/>
  <c r="J1833" i="1"/>
  <c r="G1086" i="2" s="1"/>
  <c r="G1085" s="1"/>
  <c r="I1833" i="1"/>
  <c r="F1086" i="2" s="1"/>
  <c r="F1085" s="1"/>
  <c r="J1747" i="1"/>
  <c r="G1414" i="2" s="1"/>
  <c r="G1413" s="1"/>
  <c r="J1743" i="1"/>
  <c r="I1743"/>
  <c r="M1743" s="1"/>
  <c r="J1696"/>
  <c r="G1685" i="2" s="1"/>
  <c r="G1684" s="1"/>
  <c r="J1699" i="1"/>
  <c r="G1688" i="2" s="1"/>
  <c r="I1699" i="1"/>
  <c r="F1688" i="2" s="1"/>
  <c r="I1696" i="1"/>
  <c r="M1696" s="1"/>
  <c r="J1692"/>
  <c r="G1681" i="2" s="1"/>
  <c r="G1680" s="1"/>
  <c r="I1692" i="1"/>
  <c r="F1681" i="2" s="1"/>
  <c r="F1680" s="1"/>
  <c r="J1661" i="1"/>
  <c r="G1675" i="2" s="1"/>
  <c r="G1674" s="1"/>
  <c r="I1661" i="1"/>
  <c r="M1661" s="1"/>
  <c r="J1655"/>
  <c r="G1669" i="2" s="1"/>
  <c r="G1668" s="1"/>
  <c r="I1655" i="1"/>
  <c r="F1669" i="2" s="1"/>
  <c r="F1668" s="1"/>
  <c r="J1509" i="1"/>
  <c r="G1765" i="2" s="1"/>
  <c r="G1764" s="1"/>
  <c r="I1509" i="1"/>
  <c r="M1509" s="1"/>
  <c r="H1395"/>
  <c r="G1395"/>
  <c r="J1395"/>
  <c r="I1395"/>
  <c r="J1452"/>
  <c r="I1452"/>
  <c r="M1452" s="1"/>
  <c r="J1146"/>
  <c r="G317" i="2" s="1"/>
  <c r="I1146" i="1"/>
  <c r="F317" i="2" s="1"/>
  <c r="J1139" i="1"/>
  <c r="G310" i="2" s="1"/>
  <c r="G309" s="1"/>
  <c r="I1139" i="1"/>
  <c r="F310" i="2" s="1"/>
  <c r="F309" s="1"/>
  <c r="J1134" i="1"/>
  <c r="G305" i="2" s="1"/>
  <c r="G304" s="1"/>
  <c r="I1134" i="1"/>
  <c r="J1077"/>
  <c r="G178" i="2" s="1"/>
  <c r="I1077" i="1"/>
  <c r="F178" i="2" s="1"/>
  <c r="J1076" i="1"/>
  <c r="I1076"/>
  <c r="J1030"/>
  <c r="G284" i="2" s="1"/>
  <c r="I1030" i="1"/>
  <c r="J1029"/>
  <c r="G283" i="2" s="1"/>
  <c r="I1029" i="1"/>
  <c r="F283" i="2" s="1"/>
  <c r="J929" i="1"/>
  <c r="I929"/>
  <c r="J876"/>
  <c r="G750" i="2" s="1"/>
  <c r="G749" s="1"/>
  <c r="I876" i="1"/>
  <c r="F750" i="2" s="1"/>
  <c r="F749" s="1"/>
  <c r="J869" i="1"/>
  <c r="G743" i="2" s="1"/>
  <c r="G742" s="1"/>
  <c r="I869" i="1"/>
  <c r="M869" s="1"/>
  <c r="J840"/>
  <c r="G762" i="2" s="1"/>
  <c r="I840" i="1"/>
  <c r="M840" s="1"/>
  <c r="J839"/>
  <c r="G761" i="2" s="1"/>
  <c r="I839" i="1"/>
  <c r="F761" i="2" s="1"/>
  <c r="K819" i="1"/>
  <c r="J819"/>
  <c r="I819"/>
  <c r="K817"/>
  <c r="J817"/>
  <c r="I817"/>
  <c r="J722"/>
  <c r="G154" i="2" s="1"/>
  <c r="G153" s="1"/>
  <c r="J728" i="1"/>
  <c r="G163" i="2" s="1"/>
  <c r="G162" s="1"/>
  <c r="I728" i="1"/>
  <c r="M728" s="1"/>
  <c r="I722"/>
  <c r="F154" i="2" s="1"/>
  <c r="F153" s="1"/>
  <c r="J716" i="1"/>
  <c r="G148" i="2" s="1"/>
  <c r="G147" s="1"/>
  <c r="I716" i="1"/>
  <c r="J706"/>
  <c r="G138" i="2" s="1"/>
  <c r="G137" s="1"/>
  <c r="I706" i="1"/>
  <c r="F138" i="2" s="1"/>
  <c r="F137" s="1"/>
  <c r="J701" i="1"/>
  <c r="G133" i="2" s="1"/>
  <c r="G132" s="1"/>
  <c r="I701" i="1"/>
  <c r="F133" i="2" s="1"/>
  <c r="F132" s="1"/>
  <c r="K671" i="1"/>
  <c r="J671"/>
  <c r="I671"/>
  <c r="J663"/>
  <c r="G65" i="2" s="1"/>
  <c r="G64" s="1"/>
  <c r="I663" i="1"/>
  <c r="J657"/>
  <c r="G59" i="2" s="1"/>
  <c r="G58" s="1"/>
  <c r="I657" i="1"/>
  <c r="M657" s="1"/>
  <c r="J490"/>
  <c r="G1255" i="2" s="1"/>
  <c r="G1254" s="1"/>
  <c r="I490" i="1"/>
  <c r="F1255" i="2" s="1"/>
  <c r="F1254" s="1"/>
  <c r="J486" i="1"/>
  <c r="G1251" i="2" s="1"/>
  <c r="G1250" s="1"/>
  <c r="I486" i="1"/>
  <c r="M486" s="1"/>
  <c r="J458"/>
  <c r="G1518" i="2" s="1"/>
  <c r="G1517" s="1"/>
  <c r="I458" i="1"/>
  <c r="F1518" i="2" s="1"/>
  <c r="F1517" s="1"/>
  <c r="J455" i="1"/>
  <c r="G1515" i="2" s="1"/>
  <c r="G1514" s="1"/>
  <c r="I455" i="1"/>
  <c r="M455" s="1"/>
  <c r="J451"/>
  <c r="G1511" i="2" s="1"/>
  <c r="G1510" s="1"/>
  <c r="I451" i="1"/>
  <c r="F1511" i="2" s="1"/>
  <c r="F1510" s="1"/>
  <c r="J448" i="1"/>
  <c r="G1498" i="2" s="1"/>
  <c r="G1496" s="1"/>
  <c r="I448" i="1"/>
  <c r="J443"/>
  <c r="G1493" i="2" s="1"/>
  <c r="I443" i="1"/>
  <c r="F1493" i="2" s="1"/>
  <c r="J442" i="1"/>
  <c r="G1492" i="2" s="1"/>
  <c r="I442" i="1"/>
  <c r="M442" s="1"/>
  <c r="J392"/>
  <c r="G1508" i="2" s="1"/>
  <c r="I392" i="1"/>
  <c r="M392" s="1"/>
  <c r="J385"/>
  <c r="G1501" i="2" s="1"/>
  <c r="G1500" s="1"/>
  <c r="I385" i="1"/>
  <c r="J272"/>
  <c r="G1562" i="2" s="1"/>
  <c r="G1561" s="1"/>
  <c r="I272" i="1"/>
  <c r="F1562" i="2" s="1"/>
  <c r="F1561" s="1"/>
  <c r="J268" i="1"/>
  <c r="G1556" i="2" s="1"/>
  <c r="G1555" s="1"/>
  <c r="I268" i="1"/>
  <c r="F1556" i="2" s="1"/>
  <c r="F1555" s="1"/>
  <c r="I249" i="1"/>
  <c r="M249" s="1"/>
  <c r="J243"/>
  <c r="I243"/>
  <c r="M243" s="1"/>
  <c r="J69"/>
  <c r="G1069" i="2" s="1"/>
  <c r="I69" i="1"/>
  <c r="J66"/>
  <c r="G1066" i="2" s="1"/>
  <c r="G1065" s="1"/>
  <c r="I66" i="1"/>
  <c r="J60"/>
  <c r="G1060" i="2" s="1"/>
  <c r="G1059" s="1"/>
  <c r="I60" i="1"/>
  <c r="F1060" i="2" s="1"/>
  <c r="F1059" s="1"/>
  <c r="J51" i="1"/>
  <c r="I51"/>
  <c r="E703" i="2"/>
  <c r="E357"/>
  <c r="E349"/>
  <c r="E347"/>
  <c r="E344"/>
  <c r="E2117"/>
  <c r="F1492" l="1"/>
  <c r="F1491" s="1"/>
  <c r="F1885"/>
  <c r="F1884" s="1"/>
  <c r="F1710"/>
  <c r="F999"/>
  <c r="K1653" i="1"/>
  <c r="K1652" s="1"/>
  <c r="M2565"/>
  <c r="M2945"/>
  <c r="F59" i="2"/>
  <c r="F58" s="1"/>
  <c r="G868"/>
  <c r="G795" s="1"/>
  <c r="F1251"/>
  <c r="F1250" s="1"/>
  <c r="F1249" s="1"/>
  <c r="F1245" s="1"/>
  <c r="M2657" i="1"/>
  <c r="M2765"/>
  <c r="M722"/>
  <c r="G400" i="2"/>
  <c r="G1834"/>
  <c r="F1822"/>
  <c r="F1821" s="1"/>
  <c r="F1882"/>
  <c r="F1881" s="1"/>
  <c r="F1874" s="1"/>
  <c r="K1624" i="1"/>
  <c r="K1623" s="1"/>
  <c r="M2264"/>
  <c r="G1410" i="2"/>
  <c r="G1409" s="1"/>
  <c r="F1904"/>
  <c r="F1897" s="1"/>
  <c r="F74"/>
  <c r="F73" s="1"/>
  <c r="F72" s="1"/>
  <c r="G996"/>
  <c r="G1806"/>
  <c r="G1805" s="1"/>
  <c r="F2077"/>
  <c r="F2072" s="1"/>
  <c r="F2071" s="1"/>
  <c r="G2141"/>
  <c r="G2140" s="1"/>
  <c r="G2139" s="1"/>
  <c r="M706" i="1"/>
  <c r="M1904"/>
  <c r="F1420" i="2"/>
  <c r="G2106"/>
  <c r="G44"/>
  <c r="F762"/>
  <c r="G772"/>
  <c r="G769" s="1"/>
  <c r="F1675"/>
  <c r="F1674" s="1"/>
  <c r="F1667" s="1"/>
  <c r="J39"/>
  <c r="M2306" i="1"/>
  <c r="H1067" i="2"/>
  <c r="G1904"/>
  <c r="G449"/>
  <c r="F477"/>
  <c r="G560"/>
  <c r="G570"/>
  <c r="G648"/>
  <c r="G647" s="1"/>
  <c r="G1204"/>
  <c r="F1384"/>
  <c r="F1381" s="1"/>
  <c r="H131"/>
  <c r="H409"/>
  <c r="F1303"/>
  <c r="F1016"/>
  <c r="F1015" s="1"/>
  <c r="G1091"/>
  <c r="G1467"/>
  <c r="F1806"/>
  <c r="F1805" s="1"/>
  <c r="F1939"/>
  <c r="F1966"/>
  <c r="F1965" s="1"/>
  <c r="G161"/>
  <c r="G1686"/>
  <c r="G565"/>
  <c r="G630"/>
  <c r="G627" s="1"/>
  <c r="G644"/>
  <c r="G643" s="1"/>
  <c r="G651"/>
  <c r="G721"/>
  <c r="F1467"/>
  <c r="F760"/>
  <c r="F403"/>
  <c r="G90"/>
  <c r="G238"/>
  <c r="F630"/>
  <c r="F627" s="1"/>
  <c r="F644"/>
  <c r="F643" s="1"/>
  <c r="F684"/>
  <c r="F681" s="1"/>
  <c r="G1650"/>
  <c r="F2106"/>
  <c r="H1491"/>
  <c r="G1554"/>
  <c r="F148"/>
  <c r="F147" s="1"/>
  <c r="F146" s="1"/>
  <c r="M716" i="1"/>
  <c r="H797" i="2"/>
  <c r="J798"/>
  <c r="M671" i="1"/>
  <c r="F1891" i="2"/>
  <c r="F1890" s="1"/>
  <c r="F1883" s="1"/>
  <c r="M2553" i="1"/>
  <c r="F1004" i="2"/>
  <c r="F1003" s="1"/>
  <c r="F1002" s="1"/>
  <c r="M2966" i="1"/>
  <c r="F1051" i="2"/>
  <c r="F1050" s="1"/>
  <c r="F1049" s="1"/>
  <c r="M51" i="1"/>
  <c r="F177" i="2"/>
  <c r="F176" s="1"/>
  <c r="F175" s="1"/>
  <c r="F168" s="1"/>
  <c r="M1076" i="1"/>
  <c r="F2041" i="2"/>
  <c r="F2039" s="1"/>
  <c r="M2722" i="1"/>
  <c r="H385" i="2"/>
  <c r="J386"/>
  <c r="J1687"/>
  <c r="K1712" i="1"/>
  <c r="F1408" i="2"/>
  <c r="G263"/>
  <c r="G345"/>
  <c r="F1550"/>
  <c r="F1548" s="1"/>
  <c r="J998"/>
  <c r="G1104"/>
  <c r="F1204"/>
  <c r="F1429"/>
  <c r="F1428" s="1"/>
  <c r="F1775"/>
  <c r="F1772" s="1"/>
  <c r="M443" i="1"/>
  <c r="G993" i="2"/>
  <c r="G992" s="1"/>
  <c r="G99"/>
  <c r="G96" s="1"/>
  <c r="G107"/>
  <c r="F203"/>
  <c r="G230"/>
  <c r="G227" s="1"/>
  <c r="G469"/>
  <c r="F510"/>
  <c r="G525"/>
  <c r="F560"/>
  <c r="G585"/>
  <c r="G590"/>
  <c r="F772"/>
  <c r="F769" s="1"/>
  <c r="F1234"/>
  <c r="F1344"/>
  <c r="F1401"/>
  <c r="F1398" s="1"/>
  <c r="G1590"/>
  <c r="G1589" s="1"/>
  <c r="F2036"/>
  <c r="F2035" s="1"/>
  <c r="G2111"/>
  <c r="F2141"/>
  <c r="F2140" s="1"/>
  <c r="F2139" s="1"/>
  <c r="F2133" s="1"/>
  <c r="M1029" i="1"/>
  <c r="M2527"/>
  <c r="M2921"/>
  <c r="M1878"/>
  <c r="M1833"/>
  <c r="M2975"/>
  <c r="M1139"/>
  <c r="M1692"/>
  <c r="M2858"/>
  <c r="M1655"/>
  <c r="K1662"/>
  <c r="F1501" i="2"/>
  <c r="F1500" s="1"/>
  <c r="M385" i="1"/>
  <c r="F1498" i="2"/>
  <c r="F1496" s="1"/>
  <c r="M448" i="1"/>
  <c r="I650" i="2"/>
  <c r="J650"/>
  <c r="G1303"/>
  <c r="G1300" s="1"/>
  <c r="G1278" s="1"/>
  <c r="G1911"/>
  <c r="G1763"/>
  <c r="G203"/>
  <c r="F401"/>
  <c r="F1181"/>
  <c r="F1180" s="1"/>
  <c r="F1215"/>
  <c r="F1214" s="1"/>
  <c r="F1213" s="1"/>
  <c r="F1212" s="1"/>
  <c r="G1335"/>
  <c r="G1331" s="1"/>
  <c r="G1939"/>
  <c r="G1938" s="1"/>
  <c r="F1543"/>
  <c r="F1542" s="1"/>
  <c r="G1213"/>
  <c r="G1212" s="1"/>
  <c r="F444"/>
  <c r="G477"/>
  <c r="G530"/>
  <c r="F550"/>
  <c r="F585"/>
  <c r="F1151"/>
  <c r="G1441"/>
  <c r="G1436" s="1"/>
  <c r="G1435" s="1"/>
  <c r="F1508"/>
  <c r="F1506" s="1"/>
  <c r="G1642"/>
  <c r="F1685"/>
  <c r="F1684" s="1"/>
  <c r="F1765"/>
  <c r="F1764" s="1"/>
  <c r="F1763" s="1"/>
  <c r="F1825"/>
  <c r="F1820" s="1"/>
  <c r="F1819" s="1"/>
  <c r="F2015"/>
  <c r="F2014" s="1"/>
  <c r="F2013" s="1"/>
  <c r="F2012" s="1"/>
  <c r="F2011" s="1"/>
  <c r="F2100"/>
  <c r="F2099" s="1"/>
  <c r="F2098" s="1"/>
  <c r="F2097" s="1"/>
  <c r="F2111"/>
  <c r="H99"/>
  <c r="H96" s="1"/>
  <c r="M2332" i="1"/>
  <c r="M2683"/>
  <c r="M1882"/>
  <c r="M2687"/>
  <c r="M2045"/>
  <c r="M2561"/>
  <c r="M2431"/>
  <c r="M929"/>
  <c r="M2450"/>
  <c r="M490"/>
  <c r="F284" i="2"/>
  <c r="F282" s="1"/>
  <c r="F281" s="1"/>
  <c r="F274" s="1"/>
  <c r="M1030" i="1"/>
  <c r="H313" i="2"/>
  <c r="J313" s="1"/>
  <c r="J314"/>
  <c r="F1111"/>
  <c r="F1110" s="1"/>
  <c r="F1107" s="1"/>
  <c r="M1858" i="1"/>
  <c r="F1066" i="2"/>
  <c r="F1065" s="1"/>
  <c r="M66" i="1"/>
  <c r="F305" i="2"/>
  <c r="F304" s="1"/>
  <c r="F303" s="1"/>
  <c r="M1134" i="1"/>
  <c r="M2467"/>
  <c r="F1614" i="2"/>
  <c r="F1613" s="1"/>
  <c r="F1608" s="1"/>
  <c r="F1607" s="1"/>
  <c r="M2700" i="1"/>
  <c r="H722" i="2"/>
  <c r="J722" s="1"/>
  <c r="J723"/>
  <c r="H1126"/>
  <c r="J1127"/>
  <c r="K1668" i="1"/>
  <c r="G540" i="2"/>
  <c r="M60" i="1"/>
  <c r="F161" i="2"/>
  <c r="F439"/>
  <c r="H1091"/>
  <c r="M451" i="1"/>
  <c r="M2733"/>
  <c r="G1491" i="2"/>
  <c r="G1490" s="1"/>
  <c r="F2092"/>
  <c r="F2091" s="1"/>
  <c r="G1051"/>
  <c r="G1050" s="1"/>
  <c r="G1049" s="1"/>
  <c r="G41"/>
  <c r="G40" s="1"/>
  <c r="G74"/>
  <c r="G73" s="1"/>
  <c r="G72" s="1"/>
  <c r="F124"/>
  <c r="F341"/>
  <c r="F340" s="1"/>
  <c r="F496"/>
  <c r="F495" s="1"/>
  <c r="F492" s="1"/>
  <c r="F505"/>
  <c r="F530"/>
  <c r="F565"/>
  <c r="F1225"/>
  <c r="G1455"/>
  <c r="G1454" s="1"/>
  <c r="G1892"/>
  <c r="G1950"/>
  <c r="H1467"/>
  <c r="H1850"/>
  <c r="K1613" i="1"/>
  <c r="M1911"/>
  <c r="M1853"/>
  <c r="M2808"/>
  <c r="M2696"/>
  <c r="M1846"/>
  <c r="M2556"/>
  <c r="F1069" i="2"/>
  <c r="M69" i="1"/>
  <c r="K1706"/>
  <c r="F65" i="2"/>
  <c r="F64" s="1"/>
  <c r="F57" s="1"/>
  <c r="F56" s="1"/>
  <c r="M663" i="1"/>
  <c r="F1443" i="2"/>
  <c r="F1441" s="1"/>
  <c r="F1436" s="1"/>
  <c r="F1435" s="1"/>
  <c r="M2662" i="1"/>
  <c r="J1442" i="2"/>
  <c r="K1689" i="1"/>
  <c r="K1716"/>
  <c r="J1000" i="2"/>
  <c r="H1025"/>
  <c r="J1026"/>
  <c r="H1123"/>
  <c r="J1124"/>
  <c r="M1077" i="1"/>
  <c r="M2769"/>
  <c r="G2092" i="2"/>
  <c r="G2091" s="1"/>
  <c r="M1914" i="1"/>
  <c r="G1885" i="2"/>
  <c r="G1884" s="1"/>
  <c r="G1883" s="1"/>
  <c r="G510"/>
  <c r="F545"/>
  <c r="G684"/>
  <c r="G681" s="1"/>
  <c r="F743"/>
  <c r="F742" s="1"/>
  <c r="F741" s="1"/>
  <c r="F1515"/>
  <c r="F1514" s="1"/>
  <c r="F1509" s="1"/>
  <c r="G1730"/>
  <c r="G1990"/>
  <c r="G1983" s="1"/>
  <c r="K1720" i="1"/>
  <c r="M268"/>
  <c r="M2806"/>
  <c r="M839"/>
  <c r="M2930"/>
  <c r="M701"/>
  <c r="M1699"/>
  <c r="M458"/>
  <c r="M272"/>
  <c r="M2012"/>
  <c r="M2299"/>
  <c r="M876"/>
  <c r="M1146"/>
  <c r="H704" i="2"/>
  <c r="F520"/>
  <c r="G760"/>
  <c r="G757" s="1"/>
  <c r="G2034"/>
  <c r="G2033" s="1"/>
  <c r="G2022" s="1"/>
  <c r="G2082"/>
  <c r="G2081" s="1"/>
  <c r="G1874"/>
  <c r="F500"/>
  <c r="F540"/>
  <c r="G1679"/>
  <c r="H975"/>
  <c r="J976"/>
  <c r="H432"/>
  <c r="J433"/>
  <c r="H775"/>
  <c r="J775" s="1"/>
  <c r="J776"/>
  <c r="H886"/>
  <c r="J887"/>
  <c r="H949"/>
  <c r="J950"/>
  <c r="H1011"/>
  <c r="J1012"/>
  <c r="H1268"/>
  <c r="J1269"/>
  <c r="H758"/>
  <c r="J758" s="1"/>
  <c r="J759"/>
  <c r="H1008"/>
  <c r="J1009"/>
  <c r="J1183"/>
  <c r="H1265"/>
  <c r="J1266"/>
  <c r="H1289"/>
  <c r="J1290"/>
  <c r="G1830"/>
  <c r="F459"/>
  <c r="G600"/>
  <c r="F757"/>
  <c r="G1257"/>
  <c r="J325"/>
  <c r="J365"/>
  <c r="G57"/>
  <c r="G56" s="1"/>
  <c r="G124"/>
  <c r="F143"/>
  <c r="F136" s="1"/>
  <c r="G351"/>
  <c r="G409"/>
  <c r="G434"/>
  <c r="G580"/>
  <c r="G999"/>
  <c r="G991" s="1"/>
  <c r="G987" s="1"/>
  <c r="F1590"/>
  <c r="F1589" s="1"/>
  <c r="G1619"/>
  <c r="F1801"/>
  <c r="G1850"/>
  <c r="J38"/>
  <c r="H364"/>
  <c r="H449"/>
  <c r="H469"/>
  <c r="H684"/>
  <c r="H681" s="1"/>
  <c r="H1129"/>
  <c r="H1825"/>
  <c r="H1820" s="1"/>
  <c r="H1819" s="1"/>
  <c r="H2039"/>
  <c r="H2034" s="1"/>
  <c r="H2033" s="1"/>
  <c r="H2022" s="1"/>
  <c r="H361"/>
  <c r="J362"/>
  <c r="H1262"/>
  <c r="J1263"/>
  <c r="H1286"/>
  <c r="J1287"/>
  <c r="H1660"/>
  <c r="J1661"/>
  <c r="H356"/>
  <c r="J357"/>
  <c r="H558"/>
  <c r="J558" s="1"/>
  <c r="J559"/>
  <c r="H753"/>
  <c r="J754"/>
  <c r="H1534"/>
  <c r="J1535"/>
  <c r="G1344"/>
  <c r="F464"/>
  <c r="G492"/>
  <c r="F580"/>
  <c r="F590"/>
  <c r="G1067"/>
  <c r="G1058" s="1"/>
  <c r="G1139"/>
  <c r="G1138" s="1"/>
  <c r="F1455"/>
  <c r="F1454" s="1"/>
  <c r="G1608"/>
  <c r="G1607" s="1"/>
  <c r="F1619"/>
  <c r="G1628"/>
  <c r="F1642"/>
  <c r="F1892"/>
  <c r="G2124"/>
  <c r="G2123" s="1"/>
  <c r="G2136"/>
  <c r="G2135" s="1"/>
  <c r="G2134" s="1"/>
  <c r="J337"/>
  <c r="F99"/>
  <c r="F96" s="1"/>
  <c r="G183"/>
  <c r="G182" s="1"/>
  <c r="G454"/>
  <c r="G520"/>
  <c r="F1006"/>
  <c r="F1067"/>
  <c r="F1058" s="1"/>
  <c r="F1104"/>
  <c r="F1097" s="1"/>
  <c r="H336"/>
  <c r="H999"/>
  <c r="H1384"/>
  <c r="H1381" s="1"/>
  <c r="H1904"/>
  <c r="H1897" s="1"/>
  <c r="H702"/>
  <c r="I703"/>
  <c r="J703"/>
  <c r="H301"/>
  <c r="J302"/>
  <c r="H113"/>
  <c r="J114"/>
  <c r="H398"/>
  <c r="J399"/>
  <c r="H727"/>
  <c r="J728"/>
  <c r="H784"/>
  <c r="J785"/>
  <c r="H1102"/>
  <c r="J1103"/>
  <c r="H1528"/>
  <c r="J1529"/>
  <c r="H1647"/>
  <c r="J1648"/>
  <c r="H1761"/>
  <c r="J1762"/>
  <c r="F44"/>
  <c r="F32" s="1"/>
  <c r="F246"/>
  <c r="G341"/>
  <c r="G340" s="1"/>
  <c r="F359"/>
  <c r="G1037"/>
  <c r="F315"/>
  <c r="G618"/>
  <c r="F973"/>
  <c r="F993"/>
  <c r="F992" s="1"/>
  <c r="F991" s="1"/>
  <c r="F1037"/>
  <c r="J1171"/>
  <c r="H367"/>
  <c r="J368"/>
  <c r="H845"/>
  <c r="J846"/>
  <c r="H333"/>
  <c r="J334"/>
  <c r="H556"/>
  <c r="J556" s="1"/>
  <c r="J557"/>
  <c r="H898"/>
  <c r="J899"/>
  <c r="H781"/>
  <c r="J782"/>
  <c r="J997"/>
  <c r="H1063"/>
  <c r="J1064"/>
  <c r="H1169"/>
  <c r="J1170"/>
  <c r="H1644"/>
  <c r="J1645"/>
  <c r="G500"/>
  <c r="G1743"/>
  <c r="G1742" s="1"/>
  <c r="G37"/>
  <c r="G36" s="1"/>
  <c r="F107"/>
  <c r="F351"/>
  <c r="F449"/>
  <c r="F238"/>
  <c r="F292"/>
  <c r="F291" s="1"/>
  <c r="F324"/>
  <c r="F321" s="1"/>
  <c r="G1775"/>
  <c r="G1772" s="1"/>
  <c r="F1972"/>
  <c r="F12"/>
  <c r="F90"/>
  <c r="F345"/>
  <c r="F555"/>
  <c r="F651"/>
  <c r="F642" s="1"/>
  <c r="F868"/>
  <c r="F795" s="1"/>
  <c r="G1151"/>
  <c r="G1658"/>
  <c r="G1825"/>
  <c r="G1820" s="1"/>
  <c r="G1819" s="1"/>
  <c r="F1996"/>
  <c r="G1972"/>
  <c r="G1964" s="1"/>
  <c r="H1369"/>
  <c r="H1368" s="1"/>
  <c r="H1420"/>
  <c r="H1966"/>
  <c r="H1965" s="1"/>
  <c r="H1715"/>
  <c r="H1441"/>
  <c r="H1436" s="1"/>
  <c r="H1435" s="1"/>
  <c r="H2077"/>
  <c r="H2072" s="1"/>
  <c r="H2071" s="1"/>
  <c r="H1037"/>
  <c r="H1335"/>
  <c r="H1331" s="1"/>
  <c r="H1619"/>
  <c r="H1892"/>
  <c r="H2098"/>
  <c r="H2097" s="1"/>
  <c r="H2082"/>
  <c r="H2081" s="1"/>
  <c r="H1303"/>
  <c r="H1300" s="1"/>
  <c r="G678"/>
  <c r="G673" s="1"/>
  <c r="F678"/>
  <c r="F673" s="1"/>
  <c r="H1182"/>
  <c r="H1175" s="1"/>
  <c r="H1174" s="1"/>
  <c r="H1218"/>
  <c r="H1213" s="1"/>
  <c r="H1212" s="1"/>
  <c r="H1748"/>
  <c r="H1743" s="1"/>
  <c r="H1742" s="1"/>
  <c r="H648"/>
  <c r="H647" s="1"/>
  <c r="H611"/>
  <c r="H595"/>
  <c r="H545"/>
  <c r="H459"/>
  <c r="H2111"/>
  <c r="H1079"/>
  <c r="H1076" s="1"/>
  <c r="H600"/>
  <c r="H585"/>
  <c r="H580"/>
  <c r="H570"/>
  <c r="H530"/>
  <c r="H520"/>
  <c r="H515"/>
  <c r="H482"/>
  <c r="H477"/>
  <c r="H464"/>
  <c r="H454"/>
  <c r="H434"/>
  <c r="H1996"/>
  <c r="H403"/>
  <c r="H505"/>
  <c r="H624"/>
  <c r="H623" s="1"/>
  <c r="H618"/>
  <c r="H1110"/>
  <c r="H1107" s="1"/>
  <c r="H1104"/>
  <c r="G1897"/>
  <c r="H1401"/>
  <c r="H1398" s="1"/>
  <c r="H2124"/>
  <c r="H2123" s="1"/>
  <c r="F2124"/>
  <c r="F2123" s="1"/>
  <c r="H1679"/>
  <c r="H1806"/>
  <c r="H1805" s="1"/>
  <c r="H1801" s="1"/>
  <c r="H1772"/>
  <c r="H1763"/>
  <c r="H996"/>
  <c r="G324"/>
  <c r="G321" s="1"/>
  <c r="H292"/>
  <c r="H291" s="1"/>
  <c r="H230"/>
  <c r="H227" s="1"/>
  <c r="H203"/>
  <c r="H183"/>
  <c r="H182" s="1"/>
  <c r="H630"/>
  <c r="H627" s="1"/>
  <c r="H2136"/>
  <c r="H2135" s="1"/>
  <c r="H2134" s="1"/>
  <c r="H1883"/>
  <c r="H2116"/>
  <c r="H741"/>
  <c r="H772"/>
  <c r="H786"/>
  <c r="H161"/>
  <c r="H90"/>
  <c r="H74"/>
  <c r="H73" s="1"/>
  <c r="H72" s="1"/>
  <c r="H2141"/>
  <c r="H2140" s="1"/>
  <c r="H2139" s="1"/>
  <c r="H41"/>
  <c r="H40" s="1"/>
  <c r="H37"/>
  <c r="H93"/>
  <c r="H1509"/>
  <c r="H1496"/>
  <c r="H1506"/>
  <c r="H1499" s="1"/>
  <c r="H1950"/>
  <c r="H1554"/>
  <c r="H1548"/>
  <c r="H1541" s="1"/>
  <c r="H146"/>
  <c r="H1151"/>
  <c r="H1049"/>
  <c r="H12"/>
  <c r="H1249"/>
  <c r="H1245" s="1"/>
  <c r="H324"/>
  <c r="H444"/>
  <c r="H651"/>
  <c r="H1650"/>
  <c r="H1939"/>
  <c r="H400"/>
  <c r="H565"/>
  <c r="H1084"/>
  <c r="H1204"/>
  <c r="H1359"/>
  <c r="H1358" s="1"/>
  <c r="H1990"/>
  <c r="H1983" s="1"/>
  <c r="H44"/>
  <c r="H176"/>
  <c r="H175" s="1"/>
  <c r="H233"/>
  <c r="H246"/>
  <c r="H303"/>
  <c r="H315"/>
  <c r="H345"/>
  <c r="H492"/>
  <c r="H1234"/>
  <c r="H1590"/>
  <c r="H1589" s="1"/>
  <c r="H1700"/>
  <c r="H1699" s="1"/>
  <c r="H1730"/>
  <c r="H1834"/>
  <c r="H1830" s="1"/>
  <c r="H1455"/>
  <c r="H1454" s="1"/>
  <c r="H341"/>
  <c r="H340" s="1"/>
  <c r="H1911"/>
  <c r="H57"/>
  <c r="H56" s="1"/>
  <c r="H124"/>
  <c r="H500"/>
  <c r="H668"/>
  <c r="H667" s="1"/>
  <c r="H660" s="1"/>
  <c r="H1344"/>
  <c r="H107"/>
  <c r="H238"/>
  <c r="H282"/>
  <c r="H281" s="1"/>
  <c r="H550"/>
  <c r="H575"/>
  <c r="H868"/>
  <c r="H1408"/>
  <c r="H1407" s="1"/>
  <c r="H1516"/>
  <c r="H1932"/>
  <c r="H1931" s="1"/>
  <c r="H1972"/>
  <c r="H2011"/>
  <c r="H1710"/>
  <c r="H213"/>
  <c r="H540"/>
  <c r="H708"/>
  <c r="H1016"/>
  <c r="H1190"/>
  <c r="H1844"/>
  <c r="H1840" s="1"/>
  <c r="H439"/>
  <c r="H525"/>
  <c r="H535"/>
  <c r="H1628"/>
  <c r="H1667"/>
  <c r="H1859"/>
  <c r="H1858" s="1"/>
  <c r="H1874"/>
  <c r="H2063"/>
  <c r="H2062" s="1"/>
  <c r="H2046" s="1"/>
  <c r="H2092"/>
  <c r="H2091" s="1"/>
  <c r="H143"/>
  <c r="H136" s="1"/>
  <c r="H1225"/>
  <c r="H487"/>
  <c r="H1139"/>
  <c r="H1138" s="1"/>
  <c r="H590"/>
  <c r="H1427"/>
  <c r="H263"/>
  <c r="H510"/>
  <c r="H560"/>
  <c r="H644"/>
  <c r="H643" s="1"/>
  <c r="H678"/>
  <c r="H673" s="1"/>
  <c r="H760"/>
  <c r="H1475"/>
  <c r="H1608"/>
  <c r="H1607" s="1"/>
  <c r="H2106"/>
  <c r="G973"/>
  <c r="G1475"/>
  <c r="G146"/>
  <c r="G176"/>
  <c r="G175" s="1"/>
  <c r="F230"/>
  <c r="F227" s="1"/>
  <c r="F1331"/>
  <c r="F1840"/>
  <c r="G131"/>
  <c r="G233"/>
  <c r="G403"/>
  <c r="G393" s="1"/>
  <c r="G389" s="1"/>
  <c r="F409"/>
  <c r="G545"/>
  <c r="F1138"/>
  <c r="F1407"/>
  <c r="F131"/>
  <c r="G143"/>
  <c r="G136" s="1"/>
  <c r="F233"/>
  <c r="F263"/>
  <c r="G303"/>
  <c r="G444"/>
  <c r="G464"/>
  <c r="G550"/>
  <c r="F600"/>
  <c r="G741"/>
  <c r="G1006"/>
  <c r="G1249"/>
  <c r="G1245" s="1"/>
  <c r="G1420"/>
  <c r="F1523"/>
  <c r="F1730"/>
  <c r="G1801"/>
  <c r="F1834"/>
  <c r="F1830" s="1"/>
  <c r="G1844"/>
  <c r="G1840" s="1"/>
  <c r="F1983"/>
  <c r="F1257"/>
  <c r="F1554"/>
  <c r="G213"/>
  <c r="F400"/>
  <c r="G482"/>
  <c r="G1234"/>
  <c r="G12"/>
  <c r="G93"/>
  <c r="F213"/>
  <c r="F434"/>
  <c r="G439"/>
  <c r="F454"/>
  <c r="F482"/>
  <c r="F618"/>
  <c r="G1225"/>
  <c r="G1408"/>
  <c r="G1407" s="1"/>
  <c r="F1516"/>
  <c r="F1859"/>
  <c r="F1858" s="1"/>
  <c r="G2098"/>
  <c r="G2097" s="1"/>
  <c r="G315"/>
  <c r="G308" s="1"/>
  <c r="F1475"/>
  <c r="F1650"/>
  <c r="F1911"/>
  <c r="F570"/>
  <c r="G1516"/>
  <c r="F1628"/>
  <c r="G1859"/>
  <c r="G1858" s="1"/>
  <c r="F93"/>
  <c r="G282"/>
  <c r="G281" s="1"/>
  <c r="G274" s="1"/>
  <c r="G459"/>
  <c r="G642"/>
  <c r="G1084"/>
  <c r="G1097"/>
  <c r="G1121"/>
  <c r="F1658"/>
  <c r="G1667"/>
  <c r="G1710"/>
  <c r="G2063"/>
  <c r="G2062" s="1"/>
  <c r="G2046" s="1"/>
  <c r="F308"/>
  <c r="G359"/>
  <c r="G1016"/>
  <c r="G1015" s="1"/>
  <c r="G505"/>
  <c r="F1121"/>
  <c r="G1523"/>
  <c r="G1700"/>
  <c r="G1699" s="1"/>
  <c r="F1950"/>
  <c r="F2063"/>
  <c r="F2062" s="1"/>
  <c r="F2046" s="1"/>
  <c r="G487"/>
  <c r="F713"/>
  <c r="F712" s="1"/>
  <c r="F708" s="1"/>
  <c r="G1079"/>
  <c r="G1076" s="1"/>
  <c r="G1190"/>
  <c r="G1189" s="1"/>
  <c r="G1932"/>
  <c r="G1931" s="1"/>
  <c r="G555"/>
  <c r="G1110"/>
  <c r="G1107" s="1"/>
  <c r="G1401"/>
  <c r="G1398" s="1"/>
  <c r="G1506"/>
  <c r="G1499" s="1"/>
  <c r="G2077"/>
  <c r="G2072" s="1"/>
  <c r="G2071" s="1"/>
  <c r="F1748"/>
  <c r="F1743" s="1"/>
  <c r="F1742" s="1"/>
  <c r="G575"/>
  <c r="G1381"/>
  <c r="G1548"/>
  <c r="G1541" s="1"/>
  <c r="G1715"/>
  <c r="F487"/>
  <c r="F575"/>
  <c r="F595"/>
  <c r="G611"/>
  <c r="G624"/>
  <c r="G623" s="1"/>
  <c r="G668"/>
  <c r="G667" s="1"/>
  <c r="G660" s="1"/>
  <c r="G704"/>
  <c r="G699" s="1"/>
  <c r="G786"/>
  <c r="F1079"/>
  <c r="F1076" s="1"/>
  <c r="F1129"/>
  <c r="F1182"/>
  <c r="F1190"/>
  <c r="F1359"/>
  <c r="F1358" s="1"/>
  <c r="F1715"/>
  <c r="F1932"/>
  <c r="F1931" s="1"/>
  <c r="G713"/>
  <c r="G712" s="1"/>
  <c r="G708" s="1"/>
  <c r="F1091"/>
  <c r="F1084" s="1"/>
  <c r="F1300"/>
  <c r="F1278" s="1"/>
  <c r="F2082"/>
  <c r="F2081" s="1"/>
  <c r="G595"/>
  <c r="G1129"/>
  <c r="G1509"/>
  <c r="G515"/>
  <c r="G535"/>
  <c r="F611"/>
  <c r="F624"/>
  <c r="F623" s="1"/>
  <c r="F668"/>
  <c r="F667" s="1"/>
  <c r="F660" s="1"/>
  <c r="F704"/>
  <c r="F699" s="1"/>
  <c r="F786"/>
  <c r="G1369"/>
  <c r="G1368" s="1"/>
  <c r="G1427"/>
  <c r="G2116"/>
  <c r="G1182"/>
  <c r="G1175" s="1"/>
  <c r="G1174" s="1"/>
  <c r="G1359"/>
  <c r="G1358" s="1"/>
  <c r="F515"/>
  <c r="F535"/>
  <c r="F1369"/>
  <c r="F1368" s="1"/>
  <c r="F1427"/>
  <c r="F1419" s="1"/>
  <c r="F1686"/>
  <c r="F2116"/>
  <c r="I816" i="1"/>
  <c r="K816"/>
  <c r="J816"/>
  <c r="H2464"/>
  <c r="H2975"/>
  <c r="H2961"/>
  <c r="L2961" s="1"/>
  <c r="H2937"/>
  <c r="H2930"/>
  <c r="H2921"/>
  <c r="L2921" s="1"/>
  <c r="H2917"/>
  <c r="L2917" s="1"/>
  <c r="J1826" i="2"/>
  <c r="E1826"/>
  <c r="I1826" s="1"/>
  <c r="H2893" i="1"/>
  <c r="L2893" s="1"/>
  <c r="H2890"/>
  <c r="L2890" s="1"/>
  <c r="H2874"/>
  <c r="L2874" s="1"/>
  <c r="H2858"/>
  <c r="H2821"/>
  <c r="E1879" i="2"/>
  <c r="E1878" s="1"/>
  <c r="H2812" i="1"/>
  <c r="L2812" s="1"/>
  <c r="H2806"/>
  <c r="H2809"/>
  <c r="L2809" s="1"/>
  <c r="H2808"/>
  <c r="L2808" s="1"/>
  <c r="E1723" i="2"/>
  <c r="E1722" s="1"/>
  <c r="K2768" i="1"/>
  <c r="J2768"/>
  <c r="I2768"/>
  <c r="H2769"/>
  <c r="H2765"/>
  <c r="L2765" s="1"/>
  <c r="H2733"/>
  <c r="H2717"/>
  <c r="H2700"/>
  <c r="H2696"/>
  <c r="H2683"/>
  <c r="H2671"/>
  <c r="L2671" s="1"/>
  <c r="H2662"/>
  <c r="H2657"/>
  <c r="H2643"/>
  <c r="E2119" i="2"/>
  <c r="K2616" i="1"/>
  <c r="J2616"/>
  <c r="J2615" s="1"/>
  <c r="J2614" s="1"/>
  <c r="I2616"/>
  <c r="H2616"/>
  <c r="E1391" i="2"/>
  <c r="E1390" s="1"/>
  <c r="E1389" s="1"/>
  <c r="K2576" i="1"/>
  <c r="J2576"/>
  <c r="J2575" s="1"/>
  <c r="I2576"/>
  <c r="I2575" s="1"/>
  <c r="H2576"/>
  <c r="H2565"/>
  <c r="L2565" s="1"/>
  <c r="H2561"/>
  <c r="L2561" s="1"/>
  <c r="H2556"/>
  <c r="H2549"/>
  <c r="H2553"/>
  <c r="H2527"/>
  <c r="L2527" s="1"/>
  <c r="E1833" i="2"/>
  <c r="E1832" s="1"/>
  <c r="E1831" s="1"/>
  <c r="K2523" i="1"/>
  <c r="J2523"/>
  <c r="J2522" s="1"/>
  <c r="I2523"/>
  <c r="I2522" s="1"/>
  <c r="H2523"/>
  <c r="H2522" s="1"/>
  <c r="E1889" i="2"/>
  <c r="E1888" s="1"/>
  <c r="H2467" i="1"/>
  <c r="L2467" s="1"/>
  <c r="H2456"/>
  <c r="H2450"/>
  <c r="H2431"/>
  <c r="E1281" i="2"/>
  <c r="E1280" s="1"/>
  <c r="E1279" s="1"/>
  <c r="K2369" i="1"/>
  <c r="J2369"/>
  <c r="J2368" s="1"/>
  <c r="I2369"/>
  <c r="I2368" s="1"/>
  <c r="H2369"/>
  <c r="H2368" s="1"/>
  <c r="K2401"/>
  <c r="J2401"/>
  <c r="I2401"/>
  <c r="H2401"/>
  <c r="E706" i="2"/>
  <c r="E702"/>
  <c r="K2364" i="1"/>
  <c r="J2364"/>
  <c r="I2364"/>
  <c r="K2362"/>
  <c r="J2362"/>
  <c r="I2362"/>
  <c r="H2364"/>
  <c r="H2362"/>
  <c r="E680" i="2"/>
  <c r="K2356" i="1"/>
  <c r="J2356"/>
  <c r="I2356"/>
  <c r="H2356"/>
  <c r="E677" i="2"/>
  <c r="E676" s="1"/>
  <c r="K2354" i="1"/>
  <c r="J2354"/>
  <c r="I2354"/>
  <c r="H2354"/>
  <c r="E2115" i="2"/>
  <c r="K2342" i="1"/>
  <c r="J2342"/>
  <c r="J2341" s="1"/>
  <c r="J2340" s="1"/>
  <c r="J2339" s="1"/>
  <c r="J2338" s="1"/>
  <c r="I2342"/>
  <c r="I2341" s="1"/>
  <c r="I2340" s="1"/>
  <c r="I2339" s="1"/>
  <c r="I2338" s="1"/>
  <c r="H2342"/>
  <c r="H2341" s="1"/>
  <c r="H2340" s="1"/>
  <c r="H2339" s="1"/>
  <c r="H2338" s="1"/>
  <c r="H2332"/>
  <c r="K2314"/>
  <c r="J2314"/>
  <c r="I2314"/>
  <c r="H2314"/>
  <c r="H2306"/>
  <c r="H2303"/>
  <c r="H2299"/>
  <c r="H2277"/>
  <c r="H2266"/>
  <c r="L2266" s="1"/>
  <c r="H2264"/>
  <c r="L2264" s="1"/>
  <c r="H2258"/>
  <c r="H2241"/>
  <c r="E1132" i="2"/>
  <c r="E1131" s="1"/>
  <c r="E1130" s="1"/>
  <c r="K2225" i="1"/>
  <c r="J2225"/>
  <c r="J2224" s="1"/>
  <c r="I2225"/>
  <c r="I2224" s="1"/>
  <c r="H2225"/>
  <c r="E670" i="2"/>
  <c r="K2204" i="1"/>
  <c r="J2204"/>
  <c r="J2203" s="1"/>
  <c r="I2204"/>
  <c r="I2203" s="1"/>
  <c r="H2204"/>
  <c r="H2045"/>
  <c r="L2045" s="1"/>
  <c r="H2030"/>
  <c r="H2022"/>
  <c r="H2012"/>
  <c r="K1958"/>
  <c r="J1958"/>
  <c r="J1957" s="1"/>
  <c r="J1956" s="1"/>
  <c r="I1958"/>
  <c r="I1957" s="1"/>
  <c r="I1956" s="1"/>
  <c r="H1958"/>
  <c r="H1957" s="1"/>
  <c r="H1956" s="1"/>
  <c r="E679" i="2"/>
  <c r="K1937" i="1"/>
  <c r="J1937"/>
  <c r="J1936" s="1"/>
  <c r="I1937"/>
  <c r="I1936" s="1"/>
  <c r="H1937"/>
  <c r="H1936" s="1"/>
  <c r="H1914"/>
  <c r="H1911"/>
  <c r="L1911" s="1"/>
  <c r="H1910"/>
  <c r="H1904"/>
  <c r="L1904" s="1"/>
  <c r="K1903"/>
  <c r="J1903"/>
  <c r="I1903"/>
  <c r="H1882"/>
  <c r="H1878"/>
  <c r="L1878" s="1"/>
  <c r="H1858"/>
  <c r="H1853"/>
  <c r="L1853" s="1"/>
  <c r="H1846"/>
  <c r="H1840"/>
  <c r="L1840" s="1"/>
  <c r="H1833"/>
  <c r="E701" i="2"/>
  <c r="E700" s="1"/>
  <c r="E675"/>
  <c r="E674" s="1"/>
  <c r="K1824" i="1"/>
  <c r="J1824"/>
  <c r="J1823" s="1"/>
  <c r="I1824"/>
  <c r="I1823" s="1"/>
  <c r="K1821"/>
  <c r="J1821"/>
  <c r="J1820" s="1"/>
  <c r="I1821"/>
  <c r="I1820" s="1"/>
  <c r="H1824"/>
  <c r="H1823" s="1"/>
  <c r="H1821"/>
  <c r="H1820" s="1"/>
  <c r="E1388" i="2"/>
  <c r="E1387" s="1"/>
  <c r="E1386"/>
  <c r="E1385"/>
  <c r="E1383"/>
  <c r="E1382" s="1"/>
  <c r="K1771" i="1"/>
  <c r="J1771"/>
  <c r="I1771"/>
  <c r="K1768"/>
  <c r="J1768"/>
  <c r="I1768"/>
  <c r="K1766"/>
  <c r="J1766"/>
  <c r="I1766"/>
  <c r="H1771"/>
  <c r="H1768"/>
  <c r="H1766"/>
  <c r="H1747"/>
  <c r="H1743"/>
  <c r="H1709"/>
  <c r="H1699"/>
  <c r="H1696"/>
  <c r="H1692"/>
  <c r="L1692" s="1"/>
  <c r="J1664"/>
  <c r="J1663" s="1"/>
  <c r="J1662" s="1"/>
  <c r="I1664"/>
  <c r="M1664" s="1"/>
  <c r="H1664"/>
  <c r="L1664" s="1"/>
  <c r="H1661"/>
  <c r="L1661" s="1"/>
  <c r="H1655"/>
  <c r="L1655" s="1"/>
  <c r="J1629"/>
  <c r="J1628" s="1"/>
  <c r="I1629"/>
  <c r="I1628" s="1"/>
  <c r="H1629"/>
  <c r="L1629" s="1"/>
  <c r="J1626"/>
  <c r="J1625" s="1"/>
  <c r="I1626"/>
  <c r="I1625" s="1"/>
  <c r="H1626"/>
  <c r="L1626" s="1"/>
  <c r="K1606"/>
  <c r="J1606"/>
  <c r="J1605" s="1"/>
  <c r="J1604" s="1"/>
  <c r="I1606"/>
  <c r="I1605" s="1"/>
  <c r="I1604" s="1"/>
  <c r="H1606"/>
  <c r="H1605" s="1"/>
  <c r="H1604" s="1"/>
  <c r="E2153" i="2"/>
  <c r="K1546" i="1"/>
  <c r="J1546"/>
  <c r="J1545" s="1"/>
  <c r="J1544" s="1"/>
  <c r="I1546"/>
  <c r="I1545" s="1"/>
  <c r="I1544" s="1"/>
  <c r="H1546"/>
  <c r="H1545" s="1"/>
  <c r="H1509"/>
  <c r="L1509" s="1"/>
  <c r="H1460"/>
  <c r="L1460" s="1"/>
  <c r="H1452"/>
  <c r="L1452" s="1"/>
  <c r="H1340"/>
  <c r="L1340" s="1"/>
  <c r="H1139"/>
  <c r="H1134"/>
  <c r="K1121"/>
  <c r="J1121"/>
  <c r="I1121"/>
  <c r="H1121"/>
  <c r="E209" i="2"/>
  <c r="E208" s="1"/>
  <c r="E207"/>
  <c r="E205"/>
  <c r="E204" s="1"/>
  <c r="K1094" i="1"/>
  <c r="J1094"/>
  <c r="I1094"/>
  <c r="K1092"/>
  <c r="J1092"/>
  <c r="I1092"/>
  <c r="K1090"/>
  <c r="J1090"/>
  <c r="I1090"/>
  <c r="H1094"/>
  <c r="H1092"/>
  <c r="H1090"/>
  <c r="H1077"/>
  <c r="L1077" s="1"/>
  <c r="H1076"/>
  <c r="E2118" i="2"/>
  <c r="K1039" i="1"/>
  <c r="J1039"/>
  <c r="J1038" s="1"/>
  <c r="J1037" s="1"/>
  <c r="I1039"/>
  <c r="I1038" s="1"/>
  <c r="I1037" s="1"/>
  <c r="H1039"/>
  <c r="H1038" s="1"/>
  <c r="H1037" s="1"/>
  <c r="E297" i="2"/>
  <c r="E296" s="1"/>
  <c r="E295" s="1"/>
  <c r="K1035" i="1"/>
  <c r="J1035"/>
  <c r="J1034" s="1"/>
  <c r="I1035"/>
  <c r="H1035"/>
  <c r="H1030"/>
  <c r="H1029"/>
  <c r="E280" i="2"/>
  <c r="E279" s="1"/>
  <c r="K1025" i="1"/>
  <c r="J1025"/>
  <c r="J1024" s="1"/>
  <c r="I1025"/>
  <c r="I1024" s="1"/>
  <c r="H1025"/>
  <c r="H1024" s="1"/>
  <c r="E362" i="2"/>
  <c r="E361" s="1"/>
  <c r="E360" s="1"/>
  <c r="K1001" i="1"/>
  <c r="J1001"/>
  <c r="J1000" s="1"/>
  <c r="I1001"/>
  <c r="I1000" s="1"/>
  <c r="H1001"/>
  <c r="H1000" s="1"/>
  <c r="H929"/>
  <c r="L929" s="1"/>
  <c r="K915"/>
  <c r="J915"/>
  <c r="J914" s="1"/>
  <c r="J913" s="1"/>
  <c r="I915"/>
  <c r="I914" s="1"/>
  <c r="I913" s="1"/>
  <c r="H915"/>
  <c r="K889"/>
  <c r="J889"/>
  <c r="J888" s="1"/>
  <c r="J887" s="1"/>
  <c r="I889"/>
  <c r="I888" s="1"/>
  <c r="I887" s="1"/>
  <c r="H889"/>
  <c r="H888" s="1"/>
  <c r="H887" s="1"/>
  <c r="H876"/>
  <c r="H869"/>
  <c r="L869" s="1"/>
  <c r="H840"/>
  <c r="L840" s="1"/>
  <c r="H839"/>
  <c r="L839" s="1"/>
  <c r="E740" i="2"/>
  <c r="E739" s="1"/>
  <c r="K835" i="1"/>
  <c r="J835"/>
  <c r="J834" s="1"/>
  <c r="I835"/>
  <c r="H835"/>
  <c r="E705" i="2"/>
  <c r="H819" i="1"/>
  <c r="L819" s="1"/>
  <c r="H817"/>
  <c r="L817" s="1"/>
  <c r="K808"/>
  <c r="J808"/>
  <c r="I808"/>
  <c r="K806"/>
  <c r="J806"/>
  <c r="I806"/>
  <c r="H808"/>
  <c r="H806"/>
  <c r="E1967" i="2"/>
  <c r="K798" i="1"/>
  <c r="L798" s="1"/>
  <c r="J798"/>
  <c r="J797" s="1"/>
  <c r="J796" s="1"/>
  <c r="I798"/>
  <c r="I797" s="1"/>
  <c r="I796" s="1"/>
  <c r="H798"/>
  <c r="H797" s="1"/>
  <c r="H796" s="1"/>
  <c r="K772"/>
  <c r="J772"/>
  <c r="J771" s="1"/>
  <c r="J770" s="1"/>
  <c r="J769" s="1"/>
  <c r="J768" s="1"/>
  <c r="I772"/>
  <c r="I771" s="1"/>
  <c r="I770" s="1"/>
  <c r="I769" s="1"/>
  <c r="I768" s="1"/>
  <c r="H772"/>
  <c r="H771" s="1"/>
  <c r="H770" s="1"/>
  <c r="H769" s="1"/>
  <c r="H768" s="1"/>
  <c r="H728"/>
  <c r="L728" s="1"/>
  <c r="H722"/>
  <c r="L722" s="1"/>
  <c r="H716"/>
  <c r="L716" s="1"/>
  <c r="H706"/>
  <c r="L706" s="1"/>
  <c r="H701"/>
  <c r="L701" s="1"/>
  <c r="H671"/>
  <c r="H670" s="1"/>
  <c r="E63" i="2"/>
  <c r="E62" s="1"/>
  <c r="E61"/>
  <c r="E60" s="1"/>
  <c r="H665" i="1"/>
  <c r="L665" s="1"/>
  <c r="H663"/>
  <c r="L663" s="1"/>
  <c r="H657"/>
  <c r="L657" s="1"/>
  <c r="K664"/>
  <c r="J664"/>
  <c r="I664"/>
  <c r="K662"/>
  <c r="J662"/>
  <c r="I662"/>
  <c r="K660"/>
  <c r="J660"/>
  <c r="I660"/>
  <c r="K658"/>
  <c r="J658"/>
  <c r="I658"/>
  <c r="K656"/>
  <c r="J656"/>
  <c r="I656"/>
  <c r="H660"/>
  <c r="H658"/>
  <c r="E120" i="2"/>
  <c r="E119" s="1"/>
  <c r="E118" s="1"/>
  <c r="K596" i="1"/>
  <c r="J596"/>
  <c r="J595" s="1"/>
  <c r="I596"/>
  <c r="I595" s="1"/>
  <c r="H596"/>
  <c r="H595" s="1"/>
  <c r="E30" i="2"/>
  <c r="E29" s="1"/>
  <c r="E28" s="1"/>
  <c r="K574" i="1"/>
  <c r="J574"/>
  <c r="J573" s="1"/>
  <c r="I574"/>
  <c r="I573" s="1"/>
  <c r="H574"/>
  <c r="E21" i="2"/>
  <c r="E20" s="1"/>
  <c r="E19" s="1"/>
  <c r="K568" i="1"/>
  <c r="J568"/>
  <c r="J567" s="1"/>
  <c r="I568"/>
  <c r="I567" s="1"/>
  <c r="H568"/>
  <c r="H567" s="1"/>
  <c r="K547"/>
  <c r="J547"/>
  <c r="J546" s="1"/>
  <c r="I547"/>
  <c r="I546" s="1"/>
  <c r="H547"/>
  <c r="H546" s="1"/>
  <c r="K542"/>
  <c r="J542"/>
  <c r="J541" s="1"/>
  <c r="I542"/>
  <c r="I541" s="1"/>
  <c r="H542"/>
  <c r="H541" s="1"/>
  <c r="E38" i="2"/>
  <c r="E39"/>
  <c r="K527" i="1"/>
  <c r="J527"/>
  <c r="J526" s="1"/>
  <c r="I527"/>
  <c r="I526" s="1"/>
  <c r="H527"/>
  <c r="H526" s="1"/>
  <c r="H490"/>
  <c r="H486"/>
  <c r="H458"/>
  <c r="H455"/>
  <c r="L455" s="1"/>
  <c r="H451"/>
  <c r="H448"/>
  <c r="H443"/>
  <c r="H442"/>
  <c r="H392"/>
  <c r="L392" s="1"/>
  <c r="H385"/>
  <c r="H272"/>
  <c r="H268"/>
  <c r="L268" s="1"/>
  <c r="H249"/>
  <c r="H243"/>
  <c r="L243" s="1"/>
  <c r="K123"/>
  <c r="J123"/>
  <c r="J122" s="1"/>
  <c r="J121" s="1"/>
  <c r="I123"/>
  <c r="I122" s="1"/>
  <c r="I121" s="1"/>
  <c r="H123"/>
  <c r="H69"/>
  <c r="H66"/>
  <c r="H60"/>
  <c r="H51"/>
  <c r="D44" i="3"/>
  <c r="D75"/>
  <c r="D83"/>
  <c r="D79"/>
  <c r="D68"/>
  <c r="D60"/>
  <c r="D56"/>
  <c r="D47"/>
  <c r="D38"/>
  <c r="D27"/>
  <c r="D91" s="1"/>
  <c r="D23"/>
  <c r="D9"/>
  <c r="D1887" i="2"/>
  <c r="D1886" s="1"/>
  <c r="D1885"/>
  <c r="D1884" s="1"/>
  <c r="D1675"/>
  <c r="D1674" s="1"/>
  <c r="D1671"/>
  <c r="D1670" s="1"/>
  <c r="D1669"/>
  <c r="D1668" s="1"/>
  <c r="E1545"/>
  <c r="E1544" s="1"/>
  <c r="E1547"/>
  <c r="E1546" s="1"/>
  <c r="E1549"/>
  <c r="E1558"/>
  <c r="E1557" s="1"/>
  <c r="E1560"/>
  <c r="E1559" s="1"/>
  <c r="E1565"/>
  <c r="E1568"/>
  <c r="E1567" s="1"/>
  <c r="E1566" s="1"/>
  <c r="E1571"/>
  <c r="E1570" s="1"/>
  <c r="E1569" s="1"/>
  <c r="E1574"/>
  <c r="E1573" s="1"/>
  <c r="E1572" s="1"/>
  <c r="E1577"/>
  <c r="E1576" s="1"/>
  <c r="E1575" s="1"/>
  <c r="E1580"/>
  <c r="E1579" s="1"/>
  <c r="E1578" s="1"/>
  <c r="E1583"/>
  <c r="E1582" s="1"/>
  <c r="E1581" s="1"/>
  <c r="E1553"/>
  <c r="E1552" s="1"/>
  <c r="E1551" s="1"/>
  <c r="E1586"/>
  <c r="D1543"/>
  <c r="D1542" s="1"/>
  <c r="D1545"/>
  <c r="D1544" s="1"/>
  <c r="D1547"/>
  <c r="D1546" s="1"/>
  <c r="D1549"/>
  <c r="D1550"/>
  <c r="D1556"/>
  <c r="D1555" s="1"/>
  <c r="D1558"/>
  <c r="D1557" s="1"/>
  <c r="D1560"/>
  <c r="D1559" s="1"/>
  <c r="D1562"/>
  <c r="D1561" s="1"/>
  <c r="D1565"/>
  <c r="D1564" s="1"/>
  <c r="D1563" s="1"/>
  <c r="D1568"/>
  <c r="D1567" s="1"/>
  <c r="D1566" s="1"/>
  <c r="D1571"/>
  <c r="D1570" s="1"/>
  <c r="D1569" s="1"/>
  <c r="D1574"/>
  <c r="D1573" s="1"/>
  <c r="D1572" s="1"/>
  <c r="D1577"/>
  <c r="D1576" s="1"/>
  <c r="D1575" s="1"/>
  <c r="D1580"/>
  <c r="D1579" s="1"/>
  <c r="D1578" s="1"/>
  <c r="D1583"/>
  <c r="D1582" s="1"/>
  <c r="D1581" s="1"/>
  <c r="D1553"/>
  <c r="D1552" s="1"/>
  <c r="D1551" s="1"/>
  <c r="D1586"/>
  <c r="D1585" s="1"/>
  <c r="D1584" s="1"/>
  <c r="E723"/>
  <c r="E722" s="1"/>
  <c r="E725"/>
  <c r="E724" s="1"/>
  <c r="E728"/>
  <c r="E727" s="1"/>
  <c r="E726" s="1"/>
  <c r="E731"/>
  <c r="E730" s="1"/>
  <c r="E734"/>
  <c r="E733" s="1"/>
  <c r="E732" s="1"/>
  <c r="E737"/>
  <c r="E736" s="1"/>
  <c r="E735" s="1"/>
  <c r="E745"/>
  <c r="E744" s="1"/>
  <c r="E747"/>
  <c r="E756"/>
  <c r="E755" s="1"/>
  <c r="E754"/>
  <c r="E753" s="1"/>
  <c r="E759"/>
  <c r="E758" s="1"/>
  <c r="E768"/>
  <c r="E767" s="1"/>
  <c r="E766" s="1"/>
  <c r="E771"/>
  <c r="E770" s="1"/>
  <c r="E773"/>
  <c r="E774"/>
  <c r="E776"/>
  <c r="E775" s="1"/>
  <c r="E779"/>
  <c r="E778" s="1"/>
  <c r="E777" s="1"/>
  <c r="E782"/>
  <c r="E785"/>
  <c r="E788"/>
  <c r="E787" s="1"/>
  <c r="E790"/>
  <c r="E789" s="1"/>
  <c r="E792"/>
  <c r="E791" s="1"/>
  <c r="E765"/>
  <c r="E764" s="1"/>
  <c r="E763" s="1"/>
  <c r="D723"/>
  <c r="D722" s="1"/>
  <c r="D725"/>
  <c r="D724" s="1"/>
  <c r="D728"/>
  <c r="D727" s="1"/>
  <c r="D726" s="1"/>
  <c r="D731"/>
  <c r="D730" s="1"/>
  <c r="D729" s="1"/>
  <c r="D734"/>
  <c r="D733" s="1"/>
  <c r="D732" s="1"/>
  <c r="D737"/>
  <c r="D736" s="1"/>
  <c r="D735" s="1"/>
  <c r="D743"/>
  <c r="D742" s="1"/>
  <c r="D745"/>
  <c r="D744" s="1"/>
  <c r="D747"/>
  <c r="D746" s="1"/>
  <c r="D750"/>
  <c r="D749" s="1"/>
  <c r="D756"/>
  <c r="D755" s="1"/>
  <c r="D754"/>
  <c r="D753" s="1"/>
  <c r="D759"/>
  <c r="D758" s="1"/>
  <c r="D761"/>
  <c r="D762"/>
  <c r="D768"/>
  <c r="D767" s="1"/>
  <c r="D766" s="1"/>
  <c r="D771"/>
  <c r="D770" s="1"/>
  <c r="D773"/>
  <c r="D774"/>
  <c r="D776"/>
  <c r="D775" s="1"/>
  <c r="D779"/>
  <c r="D778" s="1"/>
  <c r="D777" s="1"/>
  <c r="D782"/>
  <c r="D781" s="1"/>
  <c r="D780" s="1"/>
  <c r="D785"/>
  <c r="D784" s="1"/>
  <c r="D783" s="1"/>
  <c r="D788"/>
  <c r="D787" s="1"/>
  <c r="D790"/>
  <c r="D789" s="1"/>
  <c r="D792"/>
  <c r="D791" s="1"/>
  <c r="D765"/>
  <c r="D764" s="1"/>
  <c r="D763" s="1"/>
  <c r="E695"/>
  <c r="E692"/>
  <c r="E691" s="1"/>
  <c r="E690" s="1"/>
  <c r="E689"/>
  <c r="E688" s="1"/>
  <c r="E687" s="1"/>
  <c r="D695"/>
  <c r="D694" s="1"/>
  <c r="D693" s="1"/>
  <c r="E371"/>
  <c r="E370" s="1"/>
  <c r="E369" s="1"/>
  <c r="D371"/>
  <c r="D370" s="1"/>
  <c r="D369" s="1"/>
  <c r="E356"/>
  <c r="E355" s="1"/>
  <c r="D357"/>
  <c r="D356" s="1"/>
  <c r="D355" s="1"/>
  <c r="D344"/>
  <c r="E171"/>
  <c r="E170" s="1"/>
  <c r="E169" s="1"/>
  <c r="E181"/>
  <c r="E180" s="1"/>
  <c r="E179" s="1"/>
  <c r="E184"/>
  <c r="E185"/>
  <c r="E191"/>
  <c r="E190" s="1"/>
  <c r="E189" s="1"/>
  <c r="E194"/>
  <c r="E197"/>
  <c r="E196" s="1"/>
  <c r="E195" s="1"/>
  <c r="E188"/>
  <c r="E187" s="1"/>
  <c r="E186" s="1"/>
  <c r="E200"/>
  <c r="E174"/>
  <c r="E173" s="1"/>
  <c r="E172" s="1"/>
  <c r="D171"/>
  <c r="D170" s="1"/>
  <c r="D169" s="1"/>
  <c r="D177"/>
  <c r="D178"/>
  <c r="D181"/>
  <c r="D180" s="1"/>
  <c r="D179" s="1"/>
  <c r="D184"/>
  <c r="D185"/>
  <c r="D191"/>
  <c r="D190" s="1"/>
  <c r="D189" s="1"/>
  <c r="D194"/>
  <c r="D193" s="1"/>
  <c r="D192" s="1"/>
  <c r="D197"/>
  <c r="D196" s="1"/>
  <c r="D195" s="1"/>
  <c r="D188"/>
  <c r="D187" s="1"/>
  <c r="D186" s="1"/>
  <c r="D200"/>
  <c r="D199" s="1"/>
  <c r="D198" s="1"/>
  <c r="D174"/>
  <c r="D173" s="1"/>
  <c r="D172" s="1"/>
  <c r="G976" i="1"/>
  <c r="G975" s="1"/>
  <c r="K976"/>
  <c r="J976"/>
  <c r="J975" s="1"/>
  <c r="I976"/>
  <c r="H976"/>
  <c r="H975" s="1"/>
  <c r="D386" i="2"/>
  <c r="D385" s="1"/>
  <c r="D384" s="1"/>
  <c r="D383"/>
  <c r="D382" s="1"/>
  <c r="D381" s="1"/>
  <c r="D380"/>
  <c r="D379" s="1"/>
  <c r="D378" s="1"/>
  <c r="D377"/>
  <c r="D376" s="1"/>
  <c r="D375" s="1"/>
  <c r="D374"/>
  <c r="D373" s="1"/>
  <c r="D372" s="1"/>
  <c r="D368"/>
  <c r="D367" s="1"/>
  <c r="D366" s="1"/>
  <c r="D365"/>
  <c r="D364" s="1"/>
  <c r="D363" s="1"/>
  <c r="D362"/>
  <c r="D361" s="1"/>
  <c r="D360" s="1"/>
  <c r="D2109"/>
  <c r="D2114"/>
  <c r="D2121"/>
  <c r="D2120" s="1"/>
  <c r="D2113"/>
  <c r="D2112"/>
  <c r="D2117"/>
  <c r="D2119"/>
  <c r="D2118"/>
  <c r="D2107"/>
  <c r="D2108"/>
  <c r="D2015"/>
  <c r="D2014" s="1"/>
  <c r="D2013" s="1"/>
  <c r="D2012" s="1"/>
  <c r="D2020"/>
  <c r="D2019" s="1"/>
  <c r="D2018" s="1"/>
  <c r="D2017" s="1"/>
  <c r="D2026"/>
  <c r="D2025" s="1"/>
  <c r="D2024" s="1"/>
  <c r="D2023" s="1"/>
  <c r="D2031"/>
  <c r="D2030" s="1"/>
  <c r="D2029" s="1"/>
  <c r="D2028" s="1"/>
  <c r="D2036"/>
  <c r="D2035" s="1"/>
  <c r="D2038"/>
  <c r="D2037" s="1"/>
  <c r="D2041"/>
  <c r="D2040"/>
  <c r="D2044"/>
  <c r="D2043" s="1"/>
  <c r="D2042" s="1"/>
  <c r="D2050"/>
  <c r="D2049" s="1"/>
  <c r="D2048" s="1"/>
  <c r="D2047" s="1"/>
  <c r="D2055"/>
  <c r="D2054" s="1"/>
  <c r="D2053" s="1"/>
  <c r="D2052" s="1"/>
  <c r="D2060"/>
  <c r="D2059" s="1"/>
  <c r="D2058" s="1"/>
  <c r="D2057" s="1"/>
  <c r="D2065"/>
  <c r="D2064" s="1"/>
  <c r="D2067"/>
  <c r="D2066" s="1"/>
  <c r="D2069"/>
  <c r="D2068" s="1"/>
  <c r="D2074"/>
  <c r="D2073" s="1"/>
  <c r="D2076"/>
  <c r="D2075" s="1"/>
  <c r="D2078"/>
  <c r="D2079"/>
  <c r="D2084"/>
  <c r="D2083" s="1"/>
  <c r="D2086"/>
  <c r="D2085" s="1"/>
  <c r="D2088"/>
  <c r="D2087" s="1"/>
  <c r="D2126"/>
  <c r="D2125" s="1"/>
  <c r="D2128"/>
  <c r="D2127" s="1"/>
  <c r="D2131"/>
  <c r="D2130" s="1"/>
  <c r="D2129" s="1"/>
  <c r="D2142"/>
  <c r="D2143"/>
  <c r="D2137"/>
  <c r="D2138"/>
  <c r="D2148"/>
  <c r="D2147" s="1"/>
  <c r="D2146" s="1"/>
  <c r="D2145" s="1"/>
  <c r="D2094"/>
  <c r="D2093" s="1"/>
  <c r="D2096"/>
  <c r="D2095" s="1"/>
  <c r="D2100"/>
  <c r="D2099" s="1"/>
  <c r="D2102"/>
  <c r="D2101" s="1"/>
  <c r="D1943"/>
  <c r="D1942" s="1"/>
  <c r="D1941"/>
  <c r="D1940" s="1"/>
  <c r="D1946"/>
  <c r="D1945" s="1"/>
  <c r="D1944" s="1"/>
  <c r="D1949"/>
  <c r="D1948" s="1"/>
  <c r="D1947" s="1"/>
  <c r="D1952"/>
  <c r="D1951" s="1"/>
  <c r="D1954"/>
  <c r="D1953" s="1"/>
  <c r="D1957"/>
  <c r="D1956" s="1"/>
  <c r="D1955" s="1"/>
  <c r="D1960"/>
  <c r="D1959" s="1"/>
  <c r="D1958" s="1"/>
  <c r="D1934"/>
  <c r="D1933" s="1"/>
  <c r="D1936"/>
  <c r="D1935" s="1"/>
  <c r="D212"/>
  <c r="D211" s="1"/>
  <c r="D210" s="1"/>
  <c r="D215"/>
  <c r="D214" s="1"/>
  <c r="D217"/>
  <c r="D216" s="1"/>
  <c r="D220"/>
  <c r="D219" s="1"/>
  <c r="D218" s="1"/>
  <c r="D223"/>
  <c r="D222" s="1"/>
  <c r="D221" s="1"/>
  <c r="D226"/>
  <c r="D225" s="1"/>
  <c r="D224" s="1"/>
  <c r="D229"/>
  <c r="D228" s="1"/>
  <c r="D231"/>
  <c r="D232"/>
  <c r="D235"/>
  <c r="D234" s="1"/>
  <c r="D237"/>
  <c r="D236" s="1"/>
  <c r="D240"/>
  <c r="D239" s="1"/>
  <c r="D242"/>
  <c r="D241" s="1"/>
  <c r="D245"/>
  <c r="D244" s="1"/>
  <c r="D243" s="1"/>
  <c r="D248"/>
  <c r="D247" s="1"/>
  <c r="D250"/>
  <c r="D249" s="1"/>
  <c r="D253"/>
  <c r="D252" s="1"/>
  <c r="D251" s="1"/>
  <c r="D256"/>
  <c r="D255" s="1"/>
  <c r="D254" s="1"/>
  <c r="D259"/>
  <c r="D258" s="1"/>
  <c r="D257" s="1"/>
  <c r="D262"/>
  <c r="D261" s="1"/>
  <c r="D260" s="1"/>
  <c r="D272"/>
  <c r="D271" s="1"/>
  <c r="D270" s="1"/>
  <c r="D265"/>
  <c r="D264" s="1"/>
  <c r="D267"/>
  <c r="D266" s="1"/>
  <c r="D269"/>
  <c r="D268" s="1"/>
  <c r="D277"/>
  <c r="D276" s="1"/>
  <c r="D275" s="1"/>
  <c r="D283"/>
  <c r="D284"/>
  <c r="D287"/>
  <c r="D286" s="1"/>
  <c r="D285" s="1"/>
  <c r="D290"/>
  <c r="D289" s="1"/>
  <c r="D288" s="1"/>
  <c r="D293"/>
  <c r="D294"/>
  <c r="D302"/>
  <c r="D301" s="1"/>
  <c r="D300" s="1"/>
  <c r="D305"/>
  <c r="D304" s="1"/>
  <c r="D307"/>
  <c r="D306" s="1"/>
  <c r="D310"/>
  <c r="D309" s="1"/>
  <c r="D312"/>
  <c r="D311" s="1"/>
  <c r="D314"/>
  <c r="D313" s="1"/>
  <c r="D316"/>
  <c r="D317"/>
  <c r="D320"/>
  <c r="D319" s="1"/>
  <c r="D318" s="1"/>
  <c r="D323"/>
  <c r="D322" s="1"/>
  <c r="D325"/>
  <c r="D326"/>
  <c r="D328"/>
  <c r="D327" s="1"/>
  <c r="D331"/>
  <c r="D330" s="1"/>
  <c r="D329" s="1"/>
  <c r="D334"/>
  <c r="D333" s="1"/>
  <c r="D332" s="1"/>
  <c r="D337"/>
  <c r="D336" s="1"/>
  <c r="D335" s="1"/>
  <c r="D343"/>
  <c r="D347"/>
  <c r="D346" s="1"/>
  <c r="D349"/>
  <c r="D348" s="1"/>
  <c r="D354"/>
  <c r="D353" s="1"/>
  <c r="D352" s="1"/>
  <c r="D15"/>
  <c r="D14" s="1"/>
  <c r="D13" s="1"/>
  <c r="D18"/>
  <c r="D17" s="1"/>
  <c r="D16" s="1"/>
  <c r="D24"/>
  <c r="D23" s="1"/>
  <c r="D22" s="1"/>
  <c r="D27"/>
  <c r="D26" s="1"/>
  <c r="D25" s="1"/>
  <c r="D35"/>
  <c r="D34" s="1"/>
  <c r="D33" s="1"/>
  <c r="D42"/>
  <c r="D43"/>
  <c r="D46"/>
  <c r="D45" s="1"/>
  <c r="D48"/>
  <c r="D47" s="1"/>
  <c r="D54"/>
  <c r="D53" s="1"/>
  <c r="D52" s="1"/>
  <c r="D51"/>
  <c r="D50" s="1"/>
  <c r="D49" s="1"/>
  <c r="D65"/>
  <c r="D64" s="1"/>
  <c r="D57" s="1"/>
  <c r="D70"/>
  <c r="D69" s="1"/>
  <c r="D68" s="1"/>
  <c r="D75"/>
  <c r="D76"/>
  <c r="D81"/>
  <c r="D80" s="1"/>
  <c r="D79" s="1"/>
  <c r="D78" s="1"/>
  <c r="D86"/>
  <c r="D85" s="1"/>
  <c r="D84" s="1"/>
  <c r="D89"/>
  <c r="D88" s="1"/>
  <c r="D91"/>
  <c r="D92"/>
  <c r="D94"/>
  <c r="D95"/>
  <c r="D98"/>
  <c r="D97" s="1"/>
  <c r="D100"/>
  <c r="D101"/>
  <c r="D106"/>
  <c r="D105" s="1"/>
  <c r="D104" s="1"/>
  <c r="D109"/>
  <c r="D108" s="1"/>
  <c r="D111"/>
  <c r="D110" s="1"/>
  <c r="D114"/>
  <c r="D113" s="1"/>
  <c r="D112" s="1"/>
  <c r="D117"/>
  <c r="D116" s="1"/>
  <c r="D115" s="1"/>
  <c r="D123"/>
  <c r="D122" s="1"/>
  <c r="D121" s="1"/>
  <c r="D126"/>
  <c r="D125" s="1"/>
  <c r="D128"/>
  <c r="D127" s="1"/>
  <c r="D133"/>
  <c r="D132" s="1"/>
  <c r="D135"/>
  <c r="D134" s="1"/>
  <c r="D138"/>
  <c r="D137" s="1"/>
  <c r="D140"/>
  <c r="D139" s="1"/>
  <c r="D142"/>
  <c r="D141" s="1"/>
  <c r="D144"/>
  <c r="D145"/>
  <c r="D148"/>
  <c r="D147" s="1"/>
  <c r="D150"/>
  <c r="D149" s="1"/>
  <c r="D152"/>
  <c r="D151" s="1"/>
  <c r="D154"/>
  <c r="D153" s="1"/>
  <c r="D157"/>
  <c r="D156" s="1"/>
  <c r="D155" s="1"/>
  <c r="D160"/>
  <c r="D159" s="1"/>
  <c r="D158" s="1"/>
  <c r="D163"/>
  <c r="D162" s="1"/>
  <c r="D165"/>
  <c r="D164" s="1"/>
  <c r="D392"/>
  <c r="D391" s="1"/>
  <c r="D390" s="1"/>
  <c r="D395"/>
  <c r="D394" s="1"/>
  <c r="D397"/>
  <c r="D396" s="1"/>
  <c r="D399"/>
  <c r="D398" s="1"/>
  <c r="D401"/>
  <c r="D402"/>
  <c r="D404"/>
  <c r="D405"/>
  <c r="D408"/>
  <c r="D407" s="1"/>
  <c r="D406" s="1"/>
  <c r="D411"/>
  <c r="D410" s="1"/>
  <c r="D413"/>
  <c r="D412" s="1"/>
  <c r="D416"/>
  <c r="D415" s="1"/>
  <c r="D414" s="1"/>
  <c r="D419"/>
  <c r="D418" s="1"/>
  <c r="D417" s="1"/>
  <c r="D422"/>
  <c r="D421" s="1"/>
  <c r="D420" s="1"/>
  <c r="D427"/>
  <c r="D426" s="1"/>
  <c r="D425" s="1"/>
  <c r="D430"/>
  <c r="D429" s="1"/>
  <c r="D428" s="1"/>
  <c r="D433"/>
  <c r="D432" s="1"/>
  <c r="D431" s="1"/>
  <c r="D436"/>
  <c r="D435" s="1"/>
  <c r="D438"/>
  <c r="D437" s="1"/>
  <c r="D441"/>
  <c r="D440" s="1"/>
  <c r="D443"/>
  <c r="D442" s="1"/>
  <c r="D446"/>
  <c r="D445" s="1"/>
  <c r="D448"/>
  <c r="D447" s="1"/>
  <c r="D451"/>
  <c r="D450" s="1"/>
  <c r="D453"/>
  <c r="D452" s="1"/>
  <c r="D456"/>
  <c r="D455" s="1"/>
  <c r="D458"/>
  <c r="D457" s="1"/>
  <c r="D461"/>
  <c r="D460" s="1"/>
  <c r="D463"/>
  <c r="D462" s="1"/>
  <c r="D466"/>
  <c r="D465" s="1"/>
  <c r="D468"/>
  <c r="D467" s="1"/>
  <c r="D471"/>
  <c r="D470" s="1"/>
  <c r="D473"/>
  <c r="D472" s="1"/>
  <c r="D476"/>
  <c r="D475" s="1"/>
  <c r="D474" s="1"/>
  <c r="D479"/>
  <c r="D478" s="1"/>
  <c r="D481"/>
  <c r="D480" s="1"/>
  <c r="D484"/>
  <c r="D483" s="1"/>
  <c r="D486"/>
  <c r="D485" s="1"/>
  <c r="D489"/>
  <c r="D488" s="1"/>
  <c r="D491"/>
  <c r="D490" s="1"/>
  <c r="D494"/>
  <c r="D493" s="1"/>
  <c r="D496"/>
  <c r="D495" s="1"/>
  <c r="D499"/>
  <c r="D498" s="1"/>
  <c r="D497" s="1"/>
  <c r="D502"/>
  <c r="D501" s="1"/>
  <c r="D504"/>
  <c r="D503" s="1"/>
  <c r="D507"/>
  <c r="D506" s="1"/>
  <c r="D509"/>
  <c r="D508" s="1"/>
  <c r="D512"/>
  <c r="D511" s="1"/>
  <c r="D514"/>
  <c r="D513" s="1"/>
  <c r="D517"/>
  <c r="D516" s="1"/>
  <c r="D519"/>
  <c r="D518" s="1"/>
  <c r="D522"/>
  <c r="D521" s="1"/>
  <c r="D524"/>
  <c r="D523" s="1"/>
  <c r="D527"/>
  <c r="D526" s="1"/>
  <c r="D529"/>
  <c r="D528" s="1"/>
  <c r="D532"/>
  <c r="D531" s="1"/>
  <c r="D534"/>
  <c r="D533" s="1"/>
  <c r="D537"/>
  <c r="D536" s="1"/>
  <c r="D539"/>
  <c r="D538" s="1"/>
  <c r="D542"/>
  <c r="D541" s="1"/>
  <c r="D544"/>
  <c r="D543" s="1"/>
  <c r="D547"/>
  <c r="D546" s="1"/>
  <c r="D549"/>
  <c r="D548" s="1"/>
  <c r="D552"/>
  <c r="D551" s="1"/>
  <c r="D554"/>
  <c r="D553" s="1"/>
  <c r="D557"/>
  <c r="D556" s="1"/>
  <c r="D559"/>
  <c r="D558" s="1"/>
  <c r="D562"/>
  <c r="D561" s="1"/>
  <c r="D564"/>
  <c r="D563" s="1"/>
  <c r="D567"/>
  <c r="D566" s="1"/>
  <c r="D569"/>
  <c r="D568" s="1"/>
  <c r="D572"/>
  <c r="D571" s="1"/>
  <c r="D574"/>
  <c r="D573" s="1"/>
  <c r="D577"/>
  <c r="D576" s="1"/>
  <c r="D579"/>
  <c r="D578" s="1"/>
  <c r="D582"/>
  <c r="D581" s="1"/>
  <c r="D584"/>
  <c r="D583" s="1"/>
  <c r="D587"/>
  <c r="D586" s="1"/>
  <c r="D589"/>
  <c r="D588" s="1"/>
  <c r="D592"/>
  <c r="D591" s="1"/>
  <c r="D594"/>
  <c r="D593" s="1"/>
  <c r="D597"/>
  <c r="D596" s="1"/>
  <c r="D599"/>
  <c r="D598" s="1"/>
  <c r="D602"/>
  <c r="D601" s="1"/>
  <c r="D604"/>
  <c r="D603" s="1"/>
  <c r="D607"/>
  <c r="D606" s="1"/>
  <c r="D605" s="1"/>
  <c r="D613"/>
  <c r="D612" s="1"/>
  <c r="D615"/>
  <c r="D614" s="1"/>
  <c r="D625"/>
  <c r="D626"/>
  <c r="D629"/>
  <c r="D628" s="1"/>
  <c r="D631"/>
  <c r="D632"/>
  <c r="D635"/>
  <c r="D634" s="1"/>
  <c r="D633" s="1"/>
  <c r="D620"/>
  <c r="D619" s="1"/>
  <c r="D622"/>
  <c r="D621" s="1"/>
  <c r="D640"/>
  <c r="D639" s="1"/>
  <c r="D638" s="1"/>
  <c r="D637" s="1"/>
  <c r="D645"/>
  <c r="D646"/>
  <c r="D649"/>
  <c r="D648" s="1"/>
  <c r="D647" s="1"/>
  <c r="D653"/>
  <c r="D652" s="1"/>
  <c r="D655"/>
  <c r="D654" s="1"/>
  <c r="D658"/>
  <c r="D657" s="1"/>
  <c r="D656" s="1"/>
  <c r="D663"/>
  <c r="D662" s="1"/>
  <c r="D661" s="1"/>
  <c r="D666"/>
  <c r="D665" s="1"/>
  <c r="D664" s="1"/>
  <c r="D669"/>
  <c r="D668" s="1"/>
  <c r="D667" s="1"/>
  <c r="D683"/>
  <c r="D682" s="1"/>
  <c r="D685"/>
  <c r="D686"/>
  <c r="D689"/>
  <c r="D688" s="1"/>
  <c r="D687" s="1"/>
  <c r="D692"/>
  <c r="D691" s="1"/>
  <c r="D690" s="1"/>
  <c r="D698"/>
  <c r="D697" s="1"/>
  <c r="D696" s="1"/>
  <c r="D705"/>
  <c r="D704" s="1"/>
  <c r="D699" s="1"/>
  <c r="D711"/>
  <c r="D710" s="1"/>
  <c r="D709" s="1"/>
  <c r="D714"/>
  <c r="D715"/>
  <c r="D718"/>
  <c r="D717" s="1"/>
  <c r="D716" s="1"/>
  <c r="D798"/>
  <c r="D797" s="1"/>
  <c r="D796" s="1"/>
  <c r="D801"/>
  <c r="D800" s="1"/>
  <c r="D799" s="1"/>
  <c r="D804"/>
  <c r="D803" s="1"/>
  <c r="D802" s="1"/>
  <c r="D807"/>
  <c r="D806" s="1"/>
  <c r="D805" s="1"/>
  <c r="D810"/>
  <c r="D809" s="1"/>
  <c r="D808" s="1"/>
  <c r="D813"/>
  <c r="D812" s="1"/>
  <c r="D811" s="1"/>
  <c r="D816"/>
  <c r="D815" s="1"/>
  <c r="D814" s="1"/>
  <c r="D819"/>
  <c r="D818" s="1"/>
  <c r="D817" s="1"/>
  <c r="D822"/>
  <c r="D821" s="1"/>
  <c r="D820" s="1"/>
  <c r="D825"/>
  <c r="D824" s="1"/>
  <c r="D823" s="1"/>
  <c r="D828"/>
  <c r="D827" s="1"/>
  <c r="D826" s="1"/>
  <c r="D831"/>
  <c r="D830" s="1"/>
  <c r="D829" s="1"/>
  <c r="D834"/>
  <c r="D833" s="1"/>
  <c r="D832" s="1"/>
  <c r="D837"/>
  <c r="D836" s="1"/>
  <c r="D835" s="1"/>
  <c r="D840"/>
  <c r="D839" s="1"/>
  <c r="D838" s="1"/>
  <c r="D843"/>
  <c r="D842" s="1"/>
  <c r="D841" s="1"/>
  <c r="D846"/>
  <c r="D845" s="1"/>
  <c r="D844" s="1"/>
  <c r="D849"/>
  <c r="D848" s="1"/>
  <c r="D847" s="1"/>
  <c r="D852"/>
  <c r="D851" s="1"/>
  <c r="D850" s="1"/>
  <c r="D855"/>
  <c r="D854" s="1"/>
  <c r="D853" s="1"/>
  <c r="D858"/>
  <c r="D857" s="1"/>
  <c r="D856" s="1"/>
  <c r="D861"/>
  <c r="D860" s="1"/>
  <c r="D859" s="1"/>
  <c r="D864"/>
  <c r="D863" s="1"/>
  <c r="D862" s="1"/>
  <c r="D867"/>
  <c r="D866" s="1"/>
  <c r="D865" s="1"/>
  <c r="D870"/>
  <c r="D869" s="1"/>
  <c r="D872"/>
  <c r="D871" s="1"/>
  <c r="D875"/>
  <c r="D874" s="1"/>
  <c r="D873" s="1"/>
  <c r="D878"/>
  <c r="D877" s="1"/>
  <c r="D876" s="1"/>
  <c r="D881"/>
  <c r="D880" s="1"/>
  <c r="D879" s="1"/>
  <c r="D884"/>
  <c r="D883" s="1"/>
  <c r="D882" s="1"/>
  <c r="D887"/>
  <c r="D886" s="1"/>
  <c r="D885" s="1"/>
  <c r="D890"/>
  <c r="D889" s="1"/>
  <c r="D888" s="1"/>
  <c r="D893"/>
  <c r="D892" s="1"/>
  <c r="D891" s="1"/>
  <c r="D896"/>
  <c r="D895" s="1"/>
  <c r="D894" s="1"/>
  <c r="D899"/>
  <c r="D898" s="1"/>
  <c r="D897" s="1"/>
  <c r="D902"/>
  <c r="D901" s="1"/>
  <c r="D900" s="1"/>
  <c r="D905"/>
  <c r="D904" s="1"/>
  <c r="D903" s="1"/>
  <c r="D908"/>
  <c r="D907" s="1"/>
  <c r="D906" s="1"/>
  <c r="D911"/>
  <c r="D910" s="1"/>
  <c r="D909" s="1"/>
  <c r="D914"/>
  <c r="D913" s="1"/>
  <c r="D912" s="1"/>
  <c r="D917"/>
  <c r="D916" s="1"/>
  <c r="D915" s="1"/>
  <c r="D920"/>
  <c r="D919" s="1"/>
  <c r="D918" s="1"/>
  <c r="D923"/>
  <c r="D922" s="1"/>
  <c r="D921" s="1"/>
  <c r="D926"/>
  <c r="D925" s="1"/>
  <c r="D924" s="1"/>
  <c r="D932"/>
  <c r="D931" s="1"/>
  <c r="D930" s="1"/>
  <c r="D929"/>
  <c r="D928" s="1"/>
  <c r="D927" s="1"/>
  <c r="D935"/>
  <c r="D934" s="1"/>
  <c r="D933" s="1"/>
  <c r="D938"/>
  <c r="D937" s="1"/>
  <c r="D936" s="1"/>
  <c r="D941"/>
  <c r="D940" s="1"/>
  <c r="D939" s="1"/>
  <c r="D944"/>
  <c r="D943" s="1"/>
  <c r="D942" s="1"/>
  <c r="D947"/>
  <c r="D946" s="1"/>
  <c r="D945" s="1"/>
  <c r="D950"/>
  <c r="D949" s="1"/>
  <c r="D948" s="1"/>
  <c r="D953"/>
  <c r="D952" s="1"/>
  <c r="D951" s="1"/>
  <c r="D956"/>
  <c r="D955" s="1"/>
  <c r="D954" s="1"/>
  <c r="D959"/>
  <c r="D958" s="1"/>
  <c r="D957" s="1"/>
  <c r="D962"/>
  <c r="D961" s="1"/>
  <c r="D960" s="1"/>
  <c r="D965"/>
  <c r="D964" s="1"/>
  <c r="D963" s="1"/>
  <c r="D968"/>
  <c r="D967" s="1"/>
  <c r="D966" s="1"/>
  <c r="D971"/>
  <c r="D970" s="1"/>
  <c r="D969" s="1"/>
  <c r="D976"/>
  <c r="D975" s="1"/>
  <c r="D974" s="1"/>
  <c r="D979"/>
  <c r="D978" s="1"/>
  <c r="D977" s="1"/>
  <c r="D982"/>
  <c r="D981" s="1"/>
  <c r="D980" s="1"/>
  <c r="D985"/>
  <c r="D984" s="1"/>
  <c r="D983" s="1"/>
  <c r="D990"/>
  <c r="D989" s="1"/>
  <c r="D988" s="1"/>
  <c r="D993"/>
  <c r="D992" s="1"/>
  <c r="D995"/>
  <c r="D994" s="1"/>
  <c r="D998"/>
  <c r="D997"/>
  <c r="D1001"/>
  <c r="D1000"/>
  <c r="D1004"/>
  <c r="D1003" s="1"/>
  <c r="D1002" s="1"/>
  <c r="D1009"/>
  <c r="D1008" s="1"/>
  <c r="D1007" s="1"/>
  <c r="D1012"/>
  <c r="D1011" s="1"/>
  <c r="D1010" s="1"/>
  <c r="D1018"/>
  <c r="D1017" s="1"/>
  <c r="D1020"/>
  <c r="D1019" s="1"/>
  <c r="D1023"/>
  <c r="D1022" s="1"/>
  <c r="D1021" s="1"/>
  <c r="D1026"/>
  <c r="D1025" s="1"/>
  <c r="D1024" s="1"/>
  <c r="D1032"/>
  <c r="D1031" s="1"/>
  <c r="D1030" s="1"/>
  <c r="D1035"/>
  <c r="D1034" s="1"/>
  <c r="D1033" s="1"/>
  <c r="D1029"/>
  <c r="D1028" s="1"/>
  <c r="D1027" s="1"/>
  <c r="D1043"/>
  <c r="D1042" s="1"/>
  <c r="D1041" s="1"/>
  <c r="D1046"/>
  <c r="D1045" s="1"/>
  <c r="D1044" s="1"/>
  <c r="D1040"/>
  <c r="D1039" s="1"/>
  <c r="D1038" s="1"/>
  <c r="D1051"/>
  <c r="D1050" s="1"/>
  <c r="D1053"/>
  <c r="D1052" s="1"/>
  <c r="D1055"/>
  <c r="D1054" s="1"/>
  <c r="D1057"/>
  <c r="D1056" s="1"/>
  <c r="D1060"/>
  <c r="D1059" s="1"/>
  <c r="D1062"/>
  <c r="D1061" s="1"/>
  <c r="D1066"/>
  <c r="D1065" s="1"/>
  <c r="D1068"/>
  <c r="D1069"/>
  <c r="D1064"/>
  <c r="D1063" s="1"/>
  <c r="D1072"/>
  <c r="D1071" s="1"/>
  <c r="D1070" s="1"/>
  <c r="D1078"/>
  <c r="D1077" s="1"/>
  <c r="D1080"/>
  <c r="D1081"/>
  <c r="D1083"/>
  <c r="D1082" s="1"/>
  <c r="D1086"/>
  <c r="D1085" s="1"/>
  <c r="D1088"/>
  <c r="D1087" s="1"/>
  <c r="D1090"/>
  <c r="D1089" s="1"/>
  <c r="D1092"/>
  <c r="D1093"/>
  <c r="D1096"/>
  <c r="D1095" s="1"/>
  <c r="D1094" s="1"/>
  <c r="D1099"/>
  <c r="D1098" s="1"/>
  <c r="D1101"/>
  <c r="D1100" s="1"/>
  <c r="D1105"/>
  <c r="D1106"/>
  <c r="D1103"/>
  <c r="D1102" s="1"/>
  <c r="D1109"/>
  <c r="D1108" s="1"/>
  <c r="D1111"/>
  <c r="D1112"/>
  <c r="D1114"/>
  <c r="D1113" s="1"/>
  <c r="D1119"/>
  <c r="D1118" s="1"/>
  <c r="D1117" s="1"/>
  <c r="D1116" s="1"/>
  <c r="D1127"/>
  <c r="D1126" s="1"/>
  <c r="D1125" s="1"/>
  <c r="D1124"/>
  <c r="D1123" s="1"/>
  <c r="D1122" s="1"/>
  <c r="D1135"/>
  <c r="D1134" s="1"/>
  <c r="D1133" s="1"/>
  <c r="D1129" s="1"/>
  <c r="D1141"/>
  <c r="D1140" s="1"/>
  <c r="D1143"/>
  <c r="D1142" s="1"/>
  <c r="D1146"/>
  <c r="D1145" s="1"/>
  <c r="D1144" s="1"/>
  <c r="D1149"/>
  <c r="D1148" s="1"/>
  <c r="D1147" s="1"/>
  <c r="D1154"/>
  <c r="D1153" s="1"/>
  <c r="D1152" s="1"/>
  <c r="D1157"/>
  <c r="D1156" s="1"/>
  <c r="D1155" s="1"/>
  <c r="D1160"/>
  <c r="D1159" s="1"/>
  <c r="D1158" s="1"/>
  <c r="D1163"/>
  <c r="D1162" s="1"/>
  <c r="D1161" s="1"/>
  <c r="D1166"/>
  <c r="D1165" s="1"/>
  <c r="D1164" s="1"/>
  <c r="D1171"/>
  <c r="D1170" s="1"/>
  <c r="D1169" s="1"/>
  <c r="D1168" s="1"/>
  <c r="D1177"/>
  <c r="D1176" s="1"/>
  <c r="D1179"/>
  <c r="D1178" s="1"/>
  <c r="D1181"/>
  <c r="D1180" s="1"/>
  <c r="D1183"/>
  <c r="D1184"/>
  <c r="D1187"/>
  <c r="D1186" s="1"/>
  <c r="D1185" s="1"/>
  <c r="D1192"/>
  <c r="D1191" s="1"/>
  <c r="D1194"/>
  <c r="D1193" s="1"/>
  <c r="D1196"/>
  <c r="D1195" s="1"/>
  <c r="D1198"/>
  <c r="D1197" s="1"/>
  <c r="D1200"/>
  <c r="D1199" s="1"/>
  <c r="D1203"/>
  <c r="D1202" s="1"/>
  <c r="D1201" s="1"/>
  <c r="D1206"/>
  <c r="D1205" s="1"/>
  <c r="D1208"/>
  <c r="D1207" s="1"/>
  <c r="D1210"/>
  <c r="D1209" s="1"/>
  <c r="D1215"/>
  <c r="D1214" s="1"/>
  <c r="D1217"/>
  <c r="D1216" s="1"/>
  <c r="D1219"/>
  <c r="D1220"/>
  <c r="D1223"/>
  <c r="D1222" s="1"/>
  <c r="D1221" s="1"/>
  <c r="D1228"/>
  <c r="D1227" s="1"/>
  <c r="D1226" s="1"/>
  <c r="D1231"/>
  <c r="D1230" s="1"/>
  <c r="D1229" s="1"/>
  <c r="D1237"/>
  <c r="D1236" s="1"/>
  <c r="D1235" s="1"/>
  <c r="D1240"/>
  <c r="D1239" s="1"/>
  <c r="D1238" s="1"/>
  <c r="D1243"/>
  <c r="D1242" s="1"/>
  <c r="D1241" s="1"/>
  <c r="D1248"/>
  <c r="D1247" s="1"/>
  <c r="D1246" s="1"/>
  <c r="D1251"/>
  <c r="D1250" s="1"/>
  <c r="D1253"/>
  <c r="D1252" s="1"/>
  <c r="D1255"/>
  <c r="D1254" s="1"/>
  <c r="D1260"/>
  <c r="D1259" s="1"/>
  <c r="D1258" s="1"/>
  <c r="D1263"/>
  <c r="D1262" s="1"/>
  <c r="D1261" s="1"/>
  <c r="D1266"/>
  <c r="D1265" s="1"/>
  <c r="D1264" s="1"/>
  <c r="D1269"/>
  <c r="D1268" s="1"/>
  <c r="D1267" s="1"/>
  <c r="D1272"/>
  <c r="D1271" s="1"/>
  <c r="D1270" s="1"/>
  <c r="D1275"/>
  <c r="D1274" s="1"/>
  <c r="D1273" s="1"/>
  <c r="D1284"/>
  <c r="D1283" s="1"/>
  <c r="D1282" s="1"/>
  <c r="D1287"/>
  <c r="D1286" s="1"/>
  <c r="D1285" s="1"/>
  <c r="D1293"/>
  <c r="D1292" s="1"/>
  <c r="D1291" s="1"/>
  <c r="D1296"/>
  <c r="D1295" s="1"/>
  <c r="D1294" s="1"/>
  <c r="D1299"/>
  <c r="D1298" s="1"/>
  <c r="D1297" s="1"/>
  <c r="D1302"/>
  <c r="D1301" s="1"/>
  <c r="D1305"/>
  <c r="D1306"/>
  <c r="D1304"/>
  <c r="D1308"/>
  <c r="D1307" s="1"/>
  <c r="D1311"/>
  <c r="D1310" s="1"/>
  <c r="D1309" s="1"/>
  <c r="D1317"/>
  <c r="D1316" s="1"/>
  <c r="D1315" s="1"/>
  <c r="D1320"/>
  <c r="D1319" s="1"/>
  <c r="D1318" s="1"/>
  <c r="D1323"/>
  <c r="D1322" s="1"/>
  <c r="D1321" s="1"/>
  <c r="D1326"/>
  <c r="D1325" s="1"/>
  <c r="D1324" s="1"/>
  <c r="D1329"/>
  <c r="D1328" s="1"/>
  <c r="D1327" s="1"/>
  <c r="D1290"/>
  <c r="D1289" s="1"/>
  <c r="D1288" s="1"/>
  <c r="D1314"/>
  <c r="D1313" s="1"/>
  <c r="D1312" s="1"/>
  <c r="D1334"/>
  <c r="D1333" s="1"/>
  <c r="D1332" s="1"/>
  <c r="D1337"/>
  <c r="D1336" s="1"/>
  <c r="D1339"/>
  <c r="D1338" s="1"/>
  <c r="D1342"/>
  <c r="D1341" s="1"/>
  <c r="D1340" s="1"/>
  <c r="D1347"/>
  <c r="D1346" s="1"/>
  <c r="D1345" s="1"/>
  <c r="D1350"/>
  <c r="D1349" s="1"/>
  <c r="D1348" s="1"/>
  <c r="D1353"/>
  <c r="D1352" s="1"/>
  <c r="D1351" s="1"/>
  <c r="D1356"/>
  <c r="D1355" s="1"/>
  <c r="D1354" s="1"/>
  <c r="D1361"/>
  <c r="D1360" s="1"/>
  <c r="D1363"/>
  <c r="D1362" s="1"/>
  <c r="D1365"/>
  <c r="D1364" s="1"/>
  <c r="D1373"/>
  <c r="D1372" s="1"/>
  <c r="D1375"/>
  <c r="D1374" s="1"/>
  <c r="D1371"/>
  <c r="D1370" s="1"/>
  <c r="D1378"/>
  <c r="D1377" s="1"/>
  <c r="D1376" s="1"/>
  <c r="D1394"/>
  <c r="D1393" s="1"/>
  <c r="D1392" s="1"/>
  <c r="D1397"/>
  <c r="D1396" s="1"/>
  <c r="D1395" s="1"/>
  <c r="D1400"/>
  <c r="D1399" s="1"/>
  <c r="D1402"/>
  <c r="D1403"/>
  <c r="D1405"/>
  <c r="D1404" s="1"/>
  <c r="D1410"/>
  <c r="D1409" s="1"/>
  <c r="D1412"/>
  <c r="D1411" s="1"/>
  <c r="D1414"/>
  <c r="D1413" s="1"/>
  <c r="D1417"/>
  <c r="D1416" s="1"/>
  <c r="D1415" s="1"/>
  <c r="D1422"/>
  <c r="D1421" s="1"/>
  <c r="D1424"/>
  <c r="D1423" s="1"/>
  <c r="D1426"/>
  <c r="D1425" s="1"/>
  <c r="D1429"/>
  <c r="D1428" s="1"/>
  <c r="D1431"/>
  <c r="D1430" s="1"/>
  <c r="D1433"/>
  <c r="D1432" s="1"/>
  <c r="D1438"/>
  <c r="D1437" s="1"/>
  <c r="D1440"/>
  <c r="D1439" s="1"/>
  <c r="D1443"/>
  <c r="D1442"/>
  <c r="D1448"/>
  <c r="D1447" s="1"/>
  <c r="D1446" s="1"/>
  <c r="D1457"/>
  <c r="D1456" s="1"/>
  <c r="D1459"/>
  <c r="D1458" s="1"/>
  <c r="D1462"/>
  <c r="D1461" s="1"/>
  <c r="D1460" s="1"/>
  <c r="D1465"/>
  <c r="D1464" s="1"/>
  <c r="D1463" s="1"/>
  <c r="D1470"/>
  <c r="D1469" s="1"/>
  <c r="D1468" s="1"/>
  <c r="D1473"/>
  <c r="D1472" s="1"/>
  <c r="D1471" s="1"/>
  <c r="D1478"/>
  <c r="D1477" s="1"/>
  <c r="D1476" s="1"/>
  <c r="D1481"/>
  <c r="D1480" s="1"/>
  <c r="D1479" s="1"/>
  <c r="D1484"/>
  <c r="D1483" s="1"/>
  <c r="D1482" s="1"/>
  <c r="D1487"/>
  <c r="D1486" s="1"/>
  <c r="D1485" s="1"/>
  <c r="D1493"/>
  <c r="D1492"/>
  <c r="D1495"/>
  <c r="D1494" s="1"/>
  <c r="D1497"/>
  <c r="D1498"/>
  <c r="D1501"/>
  <c r="D1500" s="1"/>
  <c r="D1503"/>
  <c r="D1502" s="1"/>
  <c r="D1505"/>
  <c r="D1504" s="1"/>
  <c r="D1507"/>
  <c r="D1508"/>
  <c r="D1518"/>
  <c r="D1517" s="1"/>
  <c r="D1520"/>
  <c r="D1519" s="1"/>
  <c r="D1511"/>
  <c r="D1510" s="1"/>
  <c r="D1513"/>
  <c r="D1512" s="1"/>
  <c r="D1515"/>
  <c r="D1514" s="1"/>
  <c r="D1526"/>
  <c r="D1525" s="1"/>
  <c r="D1524" s="1"/>
  <c r="D1529"/>
  <c r="D1528" s="1"/>
  <c r="D1527" s="1"/>
  <c r="D1532"/>
  <c r="D1531" s="1"/>
  <c r="D1530" s="1"/>
  <c r="D1535"/>
  <c r="D1534" s="1"/>
  <c r="D1533" s="1"/>
  <c r="D1592"/>
  <c r="D1591" s="1"/>
  <c r="D1594"/>
  <c r="D1593" s="1"/>
  <c r="D1597"/>
  <c r="D1596" s="1"/>
  <c r="D1595" s="1"/>
  <c r="D1600"/>
  <c r="D1599" s="1"/>
  <c r="D1598" s="1"/>
  <c r="D1605"/>
  <c r="D1604" s="1"/>
  <c r="D1603" s="1"/>
  <c r="D1602" s="1"/>
  <c r="D1610"/>
  <c r="D1609" s="1"/>
  <c r="D1612"/>
  <c r="D1611" s="1"/>
  <c r="D1614"/>
  <c r="D1613" s="1"/>
  <c r="D1617"/>
  <c r="D1616" s="1"/>
  <c r="D1615" s="1"/>
  <c r="D1622"/>
  <c r="D1621" s="1"/>
  <c r="D1620" s="1"/>
  <c r="D1625"/>
  <c r="D1624" s="1"/>
  <c r="D1623" s="1"/>
  <c r="D1631"/>
  <c r="D1630" s="1"/>
  <c r="D1629" s="1"/>
  <c r="D1634"/>
  <c r="D1633" s="1"/>
  <c r="D1632" s="1"/>
  <c r="D1637"/>
  <c r="D1636" s="1"/>
  <c r="D1635" s="1"/>
  <c r="D1640"/>
  <c r="D1639" s="1"/>
  <c r="D1638" s="1"/>
  <c r="D1645"/>
  <c r="D1644" s="1"/>
  <c r="D1643" s="1"/>
  <c r="D1648"/>
  <c r="D1647" s="1"/>
  <c r="D1646" s="1"/>
  <c r="D1653"/>
  <c r="D1652" s="1"/>
  <c r="D1651" s="1"/>
  <c r="D1656"/>
  <c r="D1655" s="1"/>
  <c r="D1654" s="1"/>
  <c r="D1661"/>
  <c r="D1660" s="1"/>
  <c r="D1659" s="1"/>
  <c r="D1664"/>
  <c r="D1663" s="1"/>
  <c r="D1662" s="1"/>
  <c r="D1673"/>
  <c r="D1672" s="1"/>
  <c r="D1681"/>
  <c r="D1680" s="1"/>
  <c r="D1683"/>
  <c r="D1682" s="1"/>
  <c r="D1685"/>
  <c r="D1684" s="1"/>
  <c r="D1688"/>
  <c r="D1687"/>
  <c r="D1691"/>
  <c r="D1690" s="1"/>
  <c r="D1689" s="1"/>
  <c r="D1694"/>
  <c r="D1693" s="1"/>
  <c r="D1692" s="1"/>
  <c r="D1697"/>
  <c r="D1696" s="1"/>
  <c r="D1695" s="1"/>
  <c r="D1678"/>
  <c r="D1677" s="1"/>
  <c r="D1676" s="1"/>
  <c r="D1702"/>
  <c r="D1701" s="1"/>
  <c r="D1704"/>
  <c r="D1703" s="1"/>
  <c r="D1712"/>
  <c r="D1711" s="1"/>
  <c r="D1714"/>
  <c r="D1713" s="1"/>
  <c r="D1717"/>
  <c r="D1716" s="1"/>
  <c r="D1719"/>
  <c r="D1718" s="1"/>
  <c r="D1721"/>
  <c r="D1720" s="1"/>
  <c r="D1726"/>
  <c r="D1725" s="1"/>
  <c r="D1724" s="1"/>
  <c r="D1729"/>
  <c r="D1728" s="1"/>
  <c r="D1727" s="1"/>
  <c r="D1732"/>
  <c r="D1731" s="1"/>
  <c r="D1734"/>
  <c r="D1733" s="1"/>
  <c r="D1737"/>
  <c r="D1736" s="1"/>
  <c r="D1735" s="1"/>
  <c r="D1740"/>
  <c r="D1739" s="1"/>
  <c r="D1738" s="1"/>
  <c r="D1709"/>
  <c r="D1708" s="1"/>
  <c r="D1707" s="1"/>
  <c r="D1745"/>
  <c r="D1744" s="1"/>
  <c r="D1747"/>
  <c r="D1746" s="1"/>
  <c r="D1749"/>
  <c r="D1750"/>
  <c r="D1753"/>
  <c r="D1752" s="1"/>
  <c r="D1751" s="1"/>
  <c r="D1759"/>
  <c r="D1758" s="1"/>
  <c r="D1757" s="1"/>
  <c r="D1762"/>
  <c r="D1761" s="1"/>
  <c r="D1760" s="1"/>
  <c r="D1765"/>
  <c r="D1764" s="1"/>
  <c r="D1767"/>
  <c r="D1766" s="1"/>
  <c r="D1769"/>
  <c r="D1768" s="1"/>
  <c r="D1771"/>
  <c r="D1770" s="1"/>
  <c r="D1774"/>
  <c r="D1773" s="1"/>
  <c r="D1776"/>
  <c r="D1778"/>
  <c r="D1777"/>
  <c r="D1781"/>
  <c r="D1780" s="1"/>
  <c r="D1779" s="1"/>
  <c r="D1784"/>
  <c r="D1783" s="1"/>
  <c r="D1782" s="1"/>
  <c r="D1787"/>
  <c r="D1786" s="1"/>
  <c r="D1785" s="1"/>
  <c r="D1790"/>
  <c r="D1789" s="1"/>
  <c r="D1788" s="1"/>
  <c r="D1795"/>
  <c r="D1794" s="1"/>
  <c r="D1793" s="1"/>
  <c r="D1792" s="1"/>
  <c r="D1804"/>
  <c r="D1803" s="1"/>
  <c r="D1802" s="1"/>
  <c r="D1807"/>
  <c r="D1808"/>
  <c r="D1811"/>
  <c r="D1810" s="1"/>
  <c r="D1809" s="1"/>
  <c r="D1814"/>
  <c r="D1813" s="1"/>
  <c r="D1812" s="1"/>
  <c r="D1817"/>
  <c r="D1816" s="1"/>
  <c r="D1815" s="1"/>
  <c r="D1822"/>
  <c r="D1821" s="1"/>
  <c r="D1824"/>
  <c r="D1823" s="1"/>
  <c r="D1827"/>
  <c r="D1825" s="1"/>
  <c r="D1836"/>
  <c r="D1835" s="1"/>
  <c r="D1838"/>
  <c r="D1837" s="1"/>
  <c r="D1843"/>
  <c r="D1842" s="1"/>
  <c r="D1841" s="1"/>
  <c r="D1846"/>
  <c r="D1845" s="1"/>
  <c r="D1848"/>
  <c r="D1847" s="1"/>
  <c r="D1853"/>
  <c r="D1852" s="1"/>
  <c r="D1851" s="1"/>
  <c r="D1856"/>
  <c r="D1855" s="1"/>
  <c r="D1854" s="1"/>
  <c r="D1861"/>
  <c r="D1860" s="1"/>
  <c r="D1863"/>
  <c r="D1862" s="1"/>
  <c r="D1865"/>
  <c r="D1864" s="1"/>
  <c r="D1868"/>
  <c r="D1867" s="1"/>
  <c r="D1866" s="1"/>
  <c r="D1871"/>
  <c r="D1870" s="1"/>
  <c r="D1869" s="1"/>
  <c r="D1876"/>
  <c r="D1875" s="1"/>
  <c r="D1880"/>
  <c r="D1877" s="1"/>
  <c r="D1882"/>
  <c r="D1881" s="1"/>
  <c r="D1891"/>
  <c r="D1890" s="1"/>
  <c r="D1894"/>
  <c r="D1893" s="1"/>
  <c r="D1896"/>
  <c r="D1895" s="1"/>
  <c r="D1899"/>
  <c r="D1898" s="1"/>
  <c r="D1901"/>
  <c r="D1900" s="1"/>
  <c r="D1903"/>
  <c r="D1902" s="1"/>
  <c r="D1906"/>
  <c r="D1905"/>
  <c r="D1909"/>
  <c r="D1908" s="1"/>
  <c r="D1907" s="1"/>
  <c r="D1914"/>
  <c r="D1913" s="1"/>
  <c r="D1912" s="1"/>
  <c r="D1917"/>
  <c r="D1916" s="1"/>
  <c r="D1915" s="1"/>
  <c r="D1920"/>
  <c r="D1919" s="1"/>
  <c r="D1918" s="1"/>
  <c r="D1923"/>
  <c r="D1922" s="1"/>
  <c r="D1921" s="1"/>
  <c r="D1926"/>
  <c r="D1925" s="1"/>
  <c r="D1924" s="1"/>
  <c r="D1967"/>
  <c r="D1968"/>
  <c r="D1971"/>
  <c r="D1970" s="1"/>
  <c r="D1969" s="1"/>
  <c r="D1974"/>
  <c r="D1973" s="1"/>
  <c r="D1976"/>
  <c r="D1975" s="1"/>
  <c r="D1978"/>
  <c r="D1977" s="1"/>
  <c r="D1981"/>
  <c r="D1980" s="1"/>
  <c r="D1979" s="1"/>
  <c r="D1986"/>
  <c r="D1985" s="1"/>
  <c r="D1984" s="1"/>
  <c r="D1989"/>
  <c r="D1988" s="1"/>
  <c r="D1987" s="1"/>
  <c r="D1992"/>
  <c r="D1991" s="1"/>
  <c r="D1994"/>
  <c r="D1993" s="1"/>
  <c r="D2007"/>
  <c r="D2006" s="1"/>
  <c r="D2005" s="1"/>
  <c r="D2004" s="1"/>
  <c r="D1999"/>
  <c r="D1998" s="1"/>
  <c r="D1997" s="1"/>
  <c r="D2002"/>
  <c r="D2001" s="1"/>
  <c r="D2000" s="1"/>
  <c r="G2976" i="1"/>
  <c r="G2978"/>
  <c r="G2974"/>
  <c r="G2985"/>
  <c r="G2987"/>
  <c r="G299"/>
  <c r="G298" s="1"/>
  <c r="G129"/>
  <c r="G128" s="1"/>
  <c r="E1896" i="2"/>
  <c r="E1895" s="1"/>
  <c r="E1894"/>
  <c r="K2474" i="1"/>
  <c r="J2474"/>
  <c r="I2474"/>
  <c r="H2474"/>
  <c r="G2474"/>
  <c r="K2375"/>
  <c r="J2375"/>
  <c r="J2374" s="1"/>
  <c r="I2375"/>
  <c r="I2374" s="1"/>
  <c r="H2375"/>
  <c r="H2374" s="1"/>
  <c r="G2375"/>
  <c r="G2374" s="1"/>
  <c r="E1217" i="2"/>
  <c r="E1216" s="1"/>
  <c r="E1219"/>
  <c r="E1220"/>
  <c r="E1223"/>
  <c r="G2284" i="1"/>
  <c r="G2283" s="1"/>
  <c r="K2284"/>
  <c r="J2284"/>
  <c r="J2283" s="1"/>
  <c r="I2284"/>
  <c r="I2283" s="1"/>
  <c r="H2284"/>
  <c r="H2283" s="1"/>
  <c r="E1968" i="2"/>
  <c r="E1971"/>
  <c r="E1970" s="1"/>
  <c r="E1969" s="1"/>
  <c r="E1974"/>
  <c r="E1973" s="1"/>
  <c r="E1976"/>
  <c r="E1978"/>
  <c r="E1977" s="1"/>
  <c r="E1981"/>
  <c r="E1980" s="1"/>
  <c r="E1979" s="1"/>
  <c r="E1986"/>
  <c r="E1985" s="1"/>
  <c r="E1984" s="1"/>
  <c r="E1989"/>
  <c r="E1988" s="1"/>
  <c r="E1987" s="1"/>
  <c r="E1992"/>
  <c r="E1991" s="1"/>
  <c r="E1994"/>
  <c r="E1993" s="1"/>
  <c r="E2007"/>
  <c r="E1999"/>
  <c r="E1998" s="1"/>
  <c r="E1997" s="1"/>
  <c r="E2002"/>
  <c r="E2001" s="1"/>
  <c r="E2000" s="1"/>
  <c r="G1954" i="1"/>
  <c r="G1953" s="1"/>
  <c r="G1951"/>
  <c r="G1950" s="1"/>
  <c r="K1954"/>
  <c r="J1954"/>
  <c r="J1953" s="1"/>
  <c r="I1954"/>
  <c r="H1954"/>
  <c r="K1951"/>
  <c r="J1951"/>
  <c r="J1950" s="1"/>
  <c r="I1951"/>
  <c r="H1951"/>
  <c r="J1684"/>
  <c r="J1683" s="1"/>
  <c r="I1684"/>
  <c r="M1684" s="1"/>
  <c r="H1684"/>
  <c r="L1684" s="1"/>
  <c r="G1684"/>
  <c r="G1683" s="1"/>
  <c r="G1687"/>
  <c r="G1686" s="1"/>
  <c r="J1677"/>
  <c r="J1676" s="1"/>
  <c r="I1677"/>
  <c r="H1677"/>
  <c r="G1677"/>
  <c r="G1676" s="1"/>
  <c r="G1680"/>
  <c r="G1679" s="1"/>
  <c r="J1670"/>
  <c r="J1669" s="1"/>
  <c r="I1670"/>
  <c r="H1670"/>
  <c r="L1670" s="1"/>
  <c r="G1670"/>
  <c r="G1669" s="1"/>
  <c r="K1458"/>
  <c r="J1458"/>
  <c r="I1458"/>
  <c r="G1458"/>
  <c r="E342" i="2"/>
  <c r="E343"/>
  <c r="E346"/>
  <c r="E348"/>
  <c r="I349"/>
  <c r="I347"/>
  <c r="G1163" i="1"/>
  <c r="G1165"/>
  <c r="K1165"/>
  <c r="J1165"/>
  <c r="I1165"/>
  <c r="H1165"/>
  <c r="K1163"/>
  <c r="J1163"/>
  <c r="I1163"/>
  <c r="H1163"/>
  <c r="J216" i="2"/>
  <c r="E212"/>
  <c r="E211" s="1"/>
  <c r="E210" s="1"/>
  <c r="E215"/>
  <c r="E214" s="1"/>
  <c r="E217"/>
  <c r="E216" s="1"/>
  <c r="I216" s="1"/>
  <c r="E220"/>
  <c r="E219" s="1"/>
  <c r="E218" s="1"/>
  <c r="E223"/>
  <c r="E222" s="1"/>
  <c r="E221" s="1"/>
  <c r="E226"/>
  <c r="E225" s="1"/>
  <c r="E224" s="1"/>
  <c r="E229"/>
  <c r="E228" s="1"/>
  <c r="E231"/>
  <c r="E232"/>
  <c r="E235"/>
  <c r="E234" s="1"/>
  <c r="E237"/>
  <c r="E236" s="1"/>
  <c r="E240"/>
  <c r="E239" s="1"/>
  <c r="E242"/>
  <c r="E245"/>
  <c r="E248"/>
  <c r="E247" s="1"/>
  <c r="E250"/>
  <c r="E249" s="1"/>
  <c r="E253"/>
  <c r="E252" s="1"/>
  <c r="E251" s="1"/>
  <c r="E256"/>
  <c r="E259"/>
  <c r="E258" s="1"/>
  <c r="E257" s="1"/>
  <c r="E262"/>
  <c r="E261" s="1"/>
  <c r="E272"/>
  <c r="E271" s="1"/>
  <c r="E270" s="1"/>
  <c r="E265"/>
  <c r="E264" s="1"/>
  <c r="E267"/>
  <c r="E266" s="1"/>
  <c r="E269"/>
  <c r="E268" s="1"/>
  <c r="G1121" i="1"/>
  <c r="G1117"/>
  <c r="G1119"/>
  <c r="K1119"/>
  <c r="J1119"/>
  <c r="I1119"/>
  <c r="H1119"/>
  <c r="K1117"/>
  <c r="J1117"/>
  <c r="I1117"/>
  <c r="H1117"/>
  <c r="K1075"/>
  <c r="K1079"/>
  <c r="K1082"/>
  <c r="K1072"/>
  <c r="K1086"/>
  <c r="J1075"/>
  <c r="J1074" s="1"/>
  <c r="J1079"/>
  <c r="J1078" s="1"/>
  <c r="J1082"/>
  <c r="J1081" s="1"/>
  <c r="J1072"/>
  <c r="J1071" s="1"/>
  <c r="J1086"/>
  <c r="J1085" s="1"/>
  <c r="I1075"/>
  <c r="I1074" s="1"/>
  <c r="I1079"/>
  <c r="I1078" s="1"/>
  <c r="I1082"/>
  <c r="I1081" s="1"/>
  <c r="I1072"/>
  <c r="I1071" s="1"/>
  <c r="I1086"/>
  <c r="H1079"/>
  <c r="H1082"/>
  <c r="H1072"/>
  <c r="H1071" s="1"/>
  <c r="H1086"/>
  <c r="H1085" s="1"/>
  <c r="G1075"/>
  <c r="G1074" s="1"/>
  <c r="G1079"/>
  <c r="G1078" s="1"/>
  <c r="G1082"/>
  <c r="G1081" s="1"/>
  <c r="G1072"/>
  <c r="G1071" s="1"/>
  <c r="G1086"/>
  <c r="G1085" s="1"/>
  <c r="E302" i="2"/>
  <c r="E301" s="1"/>
  <c r="E300" s="1"/>
  <c r="E307"/>
  <c r="E312"/>
  <c r="E311" s="1"/>
  <c r="E314"/>
  <c r="E313" s="1"/>
  <c r="E316"/>
  <c r="E317"/>
  <c r="E320"/>
  <c r="E323"/>
  <c r="E322" s="1"/>
  <c r="E325"/>
  <c r="E326"/>
  <c r="E328"/>
  <c r="E327" s="1"/>
  <c r="E331"/>
  <c r="E330" s="1"/>
  <c r="E329" s="1"/>
  <c r="E334"/>
  <c r="E333" s="1"/>
  <c r="E332" s="1"/>
  <c r="E337"/>
  <c r="E336" s="1"/>
  <c r="E335" s="1"/>
  <c r="K1046" i="1"/>
  <c r="K1049"/>
  <c r="J1046"/>
  <c r="J1045" s="1"/>
  <c r="J1049"/>
  <c r="J1048" s="1"/>
  <c r="I1046"/>
  <c r="I1049"/>
  <c r="I1048" s="1"/>
  <c r="H1046"/>
  <c r="H1045" s="1"/>
  <c r="H1049"/>
  <c r="H1048" s="1"/>
  <c r="G1046"/>
  <c r="G1045" s="1"/>
  <c r="G1049"/>
  <c r="G1048" s="1"/>
  <c r="E383" i="2"/>
  <c r="E382" s="1"/>
  <c r="E381" s="1"/>
  <c r="E374"/>
  <c r="E377"/>
  <c r="E376" s="1"/>
  <c r="E375" s="1"/>
  <c r="E380"/>
  <c r="E379" s="1"/>
  <c r="E378" s="1"/>
  <c r="E386"/>
  <c r="E385" s="1"/>
  <c r="E384" s="1"/>
  <c r="E365"/>
  <c r="E364" s="1"/>
  <c r="E363" s="1"/>
  <c r="E368"/>
  <c r="E367" s="1"/>
  <c r="E366" s="1"/>
  <c r="K1004" i="1"/>
  <c r="H1004"/>
  <c r="H1003" s="1"/>
  <c r="J1004"/>
  <c r="J1003" s="1"/>
  <c r="I1004"/>
  <c r="I1003" s="1"/>
  <c r="K1010"/>
  <c r="J1010"/>
  <c r="J1009" s="1"/>
  <c r="I1010"/>
  <c r="I1009" s="1"/>
  <c r="H1010"/>
  <c r="G1010"/>
  <c r="G1009" s="1"/>
  <c r="G1004"/>
  <c r="G1003" s="1"/>
  <c r="K982"/>
  <c r="L982" s="1"/>
  <c r="I982"/>
  <c r="I981" s="1"/>
  <c r="H982"/>
  <c r="H981" s="1"/>
  <c r="J982"/>
  <c r="J981" s="1"/>
  <c r="K979"/>
  <c r="K985"/>
  <c r="J979"/>
  <c r="J978" s="1"/>
  <c r="J985"/>
  <c r="J984" s="1"/>
  <c r="I979"/>
  <c r="I978" s="1"/>
  <c r="I985"/>
  <c r="I984" s="1"/>
  <c r="H979"/>
  <c r="H978" s="1"/>
  <c r="H985"/>
  <c r="H984" s="1"/>
  <c r="G982"/>
  <c r="G981" s="1"/>
  <c r="G979"/>
  <c r="G978" s="1"/>
  <c r="G985"/>
  <c r="G984" s="1"/>
  <c r="G930"/>
  <c r="G928"/>
  <c r="G923"/>
  <c r="G922" s="1"/>
  <c r="G921" s="1"/>
  <c r="G920" s="1"/>
  <c r="G911"/>
  <c r="G910" s="1"/>
  <c r="G908"/>
  <c r="G907" s="1"/>
  <c r="G904"/>
  <c r="G902"/>
  <c r="G899"/>
  <c r="G898" s="1"/>
  <c r="G894"/>
  <c r="G893" s="1"/>
  <c r="G892" s="1"/>
  <c r="G891" s="1"/>
  <c r="E35" i="2"/>
  <c r="E34" s="1"/>
  <c r="E33" s="1"/>
  <c r="E42"/>
  <c r="E43"/>
  <c r="E46"/>
  <c r="E45" s="1"/>
  <c r="E48"/>
  <c r="E47" s="1"/>
  <c r="E54"/>
  <c r="E53" s="1"/>
  <c r="E52" s="1"/>
  <c r="K584" i="1"/>
  <c r="K583" s="1"/>
  <c r="I584"/>
  <c r="I583" s="1"/>
  <c r="H584"/>
  <c r="K581"/>
  <c r="K578"/>
  <c r="K577" s="1"/>
  <c r="J581"/>
  <c r="J580" s="1"/>
  <c r="J578"/>
  <c r="J577" s="1"/>
  <c r="J584"/>
  <c r="J583" s="1"/>
  <c r="I581"/>
  <c r="I580" s="1"/>
  <c r="I578"/>
  <c r="I577" s="1"/>
  <c r="H581"/>
  <c r="H580" s="1"/>
  <c r="H578"/>
  <c r="H577" s="1"/>
  <c r="G584"/>
  <c r="G583" s="1"/>
  <c r="G581"/>
  <c r="G580" s="1"/>
  <c r="G578"/>
  <c r="G577" s="1"/>
  <c r="H459"/>
  <c r="E1495" i="2"/>
  <c r="E1494" s="1"/>
  <c r="E1497"/>
  <c r="E1503"/>
  <c r="E1505"/>
  <c r="E1507"/>
  <c r="E1520"/>
  <c r="E1519" s="1"/>
  <c r="E1513"/>
  <c r="E1512" s="1"/>
  <c r="K441" i="1"/>
  <c r="K444"/>
  <c r="K446"/>
  <c r="K457"/>
  <c r="K459"/>
  <c r="K450"/>
  <c r="K452"/>
  <c r="K454"/>
  <c r="J441"/>
  <c r="J444"/>
  <c r="J446"/>
  <c r="J457"/>
  <c r="J459"/>
  <c r="J450"/>
  <c r="J452"/>
  <c r="J454"/>
  <c r="I441"/>
  <c r="I444"/>
  <c r="I446"/>
  <c r="I457"/>
  <c r="I459"/>
  <c r="I450"/>
  <c r="I452"/>
  <c r="I454"/>
  <c r="H444"/>
  <c r="H452"/>
  <c r="G450"/>
  <c r="G452"/>
  <c r="G454"/>
  <c r="G457"/>
  <c r="G459"/>
  <c r="G441"/>
  <c r="G444"/>
  <c r="G446"/>
  <c r="G2115"/>
  <c r="D610" i="2" s="1"/>
  <c r="D609" s="1"/>
  <c r="D608" s="1"/>
  <c r="G877" i="1"/>
  <c r="D752" i="2" s="1"/>
  <c r="D751" s="1"/>
  <c r="G1253" i="1"/>
  <c r="G1252" s="1"/>
  <c r="D1799" i="2"/>
  <c r="D1798"/>
  <c r="D1797"/>
  <c r="D1796"/>
  <c r="D1539"/>
  <c r="D1538" s="1"/>
  <c r="K279" i="1"/>
  <c r="K282"/>
  <c r="K285"/>
  <c r="K288"/>
  <c r="J279"/>
  <c r="J278" s="1"/>
  <c r="J282"/>
  <c r="J281" s="1"/>
  <c r="J285"/>
  <c r="J284" s="1"/>
  <c r="J288"/>
  <c r="J287" s="1"/>
  <c r="I279"/>
  <c r="I278" s="1"/>
  <c r="I282"/>
  <c r="I281" s="1"/>
  <c r="I285"/>
  <c r="I284" s="1"/>
  <c r="I288"/>
  <c r="I287" s="1"/>
  <c r="H279"/>
  <c r="H282"/>
  <c r="H285"/>
  <c r="H284" s="1"/>
  <c r="H288"/>
  <c r="H287" s="1"/>
  <c r="G288"/>
  <c r="G287" s="1"/>
  <c r="G279"/>
  <c r="G278" s="1"/>
  <c r="G282"/>
  <c r="G281" s="1"/>
  <c r="G285"/>
  <c r="G284" s="1"/>
  <c r="E1284" i="2"/>
  <c r="E1283" s="1"/>
  <c r="E1282" s="1"/>
  <c r="E1287"/>
  <c r="E1286" s="1"/>
  <c r="E1285" s="1"/>
  <c r="E1293"/>
  <c r="E1292" s="1"/>
  <c r="E1291" s="1"/>
  <c r="E1296"/>
  <c r="E1295" s="1"/>
  <c r="E1294" s="1"/>
  <c r="E1299"/>
  <c r="E1302"/>
  <c r="E1301" s="1"/>
  <c r="E1305"/>
  <c r="E1306"/>
  <c r="E1304"/>
  <c r="E1308"/>
  <c r="E1307" s="1"/>
  <c r="E1311"/>
  <c r="E1310" s="1"/>
  <c r="E1309" s="1"/>
  <c r="E1317"/>
  <c r="E1316" s="1"/>
  <c r="E1315" s="1"/>
  <c r="E1320"/>
  <c r="E1319" s="1"/>
  <c r="E1318" s="1"/>
  <c r="E1323"/>
  <c r="E1322" s="1"/>
  <c r="E1326"/>
  <c r="E1325" s="1"/>
  <c r="E1329"/>
  <c r="E1328" s="1"/>
  <c r="E1327" s="1"/>
  <c r="E1290"/>
  <c r="E1289" s="1"/>
  <c r="E1288" s="1"/>
  <c r="E1314"/>
  <c r="E1313" s="1"/>
  <c r="E1312" s="1"/>
  <c r="K221" i="1"/>
  <c r="J221"/>
  <c r="J220" s="1"/>
  <c r="I221"/>
  <c r="H221"/>
  <c r="K215"/>
  <c r="K218"/>
  <c r="J215"/>
  <c r="J214" s="1"/>
  <c r="J218"/>
  <c r="J217" s="1"/>
  <c r="I215"/>
  <c r="I214" s="1"/>
  <c r="I218"/>
  <c r="I217" s="1"/>
  <c r="H215"/>
  <c r="H214" s="1"/>
  <c r="H218"/>
  <c r="H217" s="1"/>
  <c r="G221"/>
  <c r="G220" s="1"/>
  <c r="G215"/>
  <c r="G214" s="1"/>
  <c r="G218"/>
  <c r="G217" s="1"/>
  <c r="G184"/>
  <c r="G182"/>
  <c r="K170"/>
  <c r="J170"/>
  <c r="I170"/>
  <c r="H170"/>
  <c r="K168"/>
  <c r="J168"/>
  <c r="I168"/>
  <c r="H168"/>
  <c r="G168"/>
  <c r="G170"/>
  <c r="K158"/>
  <c r="I158"/>
  <c r="I157" s="1"/>
  <c r="H158"/>
  <c r="H157" s="1"/>
  <c r="J158"/>
  <c r="J157" s="1"/>
  <c r="K161"/>
  <c r="J161"/>
  <c r="J160" s="1"/>
  <c r="I161"/>
  <c r="I160" s="1"/>
  <c r="H161"/>
  <c r="H160" s="1"/>
  <c r="G161"/>
  <c r="G160" s="1"/>
  <c r="G158"/>
  <c r="G157" s="1"/>
  <c r="G146"/>
  <c r="G145" s="1"/>
  <c r="K135"/>
  <c r="I135"/>
  <c r="H135"/>
  <c r="H134" s="1"/>
  <c r="J135"/>
  <c r="J134" s="1"/>
  <c r="K138"/>
  <c r="K132"/>
  <c r="K129"/>
  <c r="J138"/>
  <c r="J137" s="1"/>
  <c r="J132"/>
  <c r="J131" s="1"/>
  <c r="J129"/>
  <c r="J128" s="1"/>
  <c r="I138"/>
  <c r="I137" s="1"/>
  <c r="I132"/>
  <c r="I131" s="1"/>
  <c r="I129"/>
  <c r="H138"/>
  <c r="H132"/>
  <c r="H131" s="1"/>
  <c r="H129"/>
  <c r="H128" s="1"/>
  <c r="G135"/>
  <c r="G134" s="1"/>
  <c r="G138"/>
  <c r="G137" s="1"/>
  <c r="G132"/>
  <c r="G131" s="1"/>
  <c r="E1029" i="2"/>
  <c r="E1018"/>
  <c r="E1017" s="1"/>
  <c r="E1020"/>
  <c r="E1023"/>
  <c r="E1022" s="1"/>
  <c r="E1021" s="1"/>
  <c r="E1026"/>
  <c r="E1025" s="1"/>
  <c r="E1024" s="1"/>
  <c r="E1032"/>
  <c r="E1035"/>
  <c r="E1034" s="1"/>
  <c r="E1033" s="1"/>
  <c r="G87" i="1"/>
  <c r="G86" s="1"/>
  <c r="G63"/>
  <c r="K43"/>
  <c r="H43"/>
  <c r="H42" s="1"/>
  <c r="J43"/>
  <c r="J42" s="1"/>
  <c r="I43"/>
  <c r="I42" s="1"/>
  <c r="K46"/>
  <c r="J46"/>
  <c r="J45" s="1"/>
  <c r="I46"/>
  <c r="I45" s="1"/>
  <c r="H46"/>
  <c r="H45" s="1"/>
  <c r="G43"/>
  <c r="G42" s="1"/>
  <c r="G46"/>
  <c r="G45" s="1"/>
  <c r="I2841"/>
  <c r="J2841"/>
  <c r="J2840" s="1"/>
  <c r="J2839" s="1"/>
  <c r="K2841"/>
  <c r="H2192"/>
  <c r="H2197"/>
  <c r="H2196" s="1"/>
  <c r="I2192"/>
  <c r="I2197"/>
  <c r="I2196" s="1"/>
  <c r="J2192"/>
  <c r="J2197"/>
  <c r="J2196" s="1"/>
  <c r="K2193"/>
  <c r="K2197"/>
  <c r="H1973"/>
  <c r="H1007"/>
  <c r="H1006" s="1"/>
  <c r="K562"/>
  <c r="H562"/>
  <c r="H561" s="1"/>
  <c r="H560" s="1"/>
  <c r="H559" s="1"/>
  <c r="I562"/>
  <c r="I561" s="1"/>
  <c r="I560" s="1"/>
  <c r="I559" s="1"/>
  <c r="J41" i="3"/>
  <c r="H38"/>
  <c r="G38"/>
  <c r="F38"/>
  <c r="E38"/>
  <c r="E44"/>
  <c r="I41"/>
  <c r="I17"/>
  <c r="J17"/>
  <c r="K1943" i="1"/>
  <c r="J1943"/>
  <c r="J1942" s="1"/>
  <c r="I1943"/>
  <c r="I1942" s="1"/>
  <c r="K1285"/>
  <c r="K1455"/>
  <c r="J1455"/>
  <c r="I1455"/>
  <c r="K1318"/>
  <c r="J1318"/>
  <c r="J1317" s="1"/>
  <c r="I1318"/>
  <c r="I1317" s="1"/>
  <c r="E1777" i="2"/>
  <c r="K1528" i="1"/>
  <c r="J1528"/>
  <c r="J1527" s="1"/>
  <c r="J1526" s="1"/>
  <c r="J1525" s="1"/>
  <c r="I1528"/>
  <c r="I1527" s="1"/>
  <c r="H1528"/>
  <c r="H1527" s="1"/>
  <c r="H1526" s="1"/>
  <c r="H1525" s="1"/>
  <c r="I1697"/>
  <c r="M1697" s="1"/>
  <c r="J1697"/>
  <c r="K2312"/>
  <c r="J2312"/>
  <c r="I2312"/>
  <c r="K2280"/>
  <c r="J2280"/>
  <c r="I2280"/>
  <c r="K2270"/>
  <c r="J2270"/>
  <c r="I2270"/>
  <c r="K2268"/>
  <c r="J2268"/>
  <c r="I2268"/>
  <c r="K2261"/>
  <c r="J2261"/>
  <c r="I2261"/>
  <c r="J2559"/>
  <c r="I2559"/>
  <c r="K2559"/>
  <c r="K2660"/>
  <c r="J2660"/>
  <c r="I2660"/>
  <c r="K2783"/>
  <c r="J2783"/>
  <c r="J2782" s="1"/>
  <c r="I2783"/>
  <c r="I2931"/>
  <c r="K1144"/>
  <c r="J1144"/>
  <c r="I1144"/>
  <c r="K962"/>
  <c r="J962"/>
  <c r="J961" s="1"/>
  <c r="J960" s="1"/>
  <c r="J959" s="1"/>
  <c r="I962"/>
  <c r="I961" s="1"/>
  <c r="I960" s="1"/>
  <c r="I959" s="1"/>
  <c r="K879"/>
  <c r="I879"/>
  <c r="J879"/>
  <c r="K639"/>
  <c r="J639"/>
  <c r="J638" s="1"/>
  <c r="K670"/>
  <c r="J670"/>
  <c r="I670"/>
  <c r="K557"/>
  <c r="J557"/>
  <c r="J556" s="1"/>
  <c r="J555" s="1"/>
  <c r="I557"/>
  <c r="I556" s="1"/>
  <c r="I555" s="1"/>
  <c r="K553"/>
  <c r="J553"/>
  <c r="J552" s="1"/>
  <c r="I553"/>
  <c r="I552" s="1"/>
  <c r="K357"/>
  <c r="J357"/>
  <c r="J356" s="1"/>
  <c r="J355" s="1"/>
  <c r="I357"/>
  <c r="I356" s="1"/>
  <c r="I355" s="1"/>
  <c r="H357"/>
  <c r="H356" s="1"/>
  <c r="H355" s="1"/>
  <c r="K362"/>
  <c r="J362"/>
  <c r="J361" s="1"/>
  <c r="J360" s="1"/>
  <c r="J359" s="1"/>
  <c r="I362"/>
  <c r="I361" s="1"/>
  <c r="I360" s="1"/>
  <c r="I359" s="1"/>
  <c r="K367"/>
  <c r="J367"/>
  <c r="J366" s="1"/>
  <c r="J365" s="1"/>
  <c r="J364" s="1"/>
  <c r="I367"/>
  <c r="K353"/>
  <c r="J353"/>
  <c r="J352" s="1"/>
  <c r="J351" s="1"/>
  <c r="I353"/>
  <c r="I352" s="1"/>
  <c r="I351" s="1"/>
  <c r="K37"/>
  <c r="J37"/>
  <c r="J36" s="1"/>
  <c r="J35" s="1"/>
  <c r="I37"/>
  <c r="I36" s="1"/>
  <c r="I35" s="1"/>
  <c r="E2096" i="2"/>
  <c r="E2095" s="1"/>
  <c r="E2102"/>
  <c r="E2112"/>
  <c r="E2121"/>
  <c r="E2120" s="1"/>
  <c r="E2110"/>
  <c r="E2109" s="1"/>
  <c r="E2108"/>
  <c r="E2107"/>
  <c r="E2148"/>
  <c r="E2128"/>
  <c r="E2126"/>
  <c r="E2131"/>
  <c r="E2130" s="1"/>
  <c r="E2088"/>
  <c r="E2087" s="1"/>
  <c r="E2086"/>
  <c r="E2078"/>
  <c r="E2076"/>
  <c r="E2069"/>
  <c r="E2067"/>
  <c r="E2060"/>
  <c r="E2059" s="1"/>
  <c r="E2058" s="1"/>
  <c r="E2057" s="1"/>
  <c r="E2055"/>
  <c r="E2050"/>
  <c r="E2044"/>
  <c r="E2040"/>
  <c r="E2038"/>
  <c r="E2037" s="1"/>
  <c r="E2031"/>
  <c r="E2030" s="1"/>
  <c r="E2029" s="1"/>
  <c r="E2026"/>
  <c r="E2025" s="1"/>
  <c r="E2024" s="1"/>
  <c r="E2023" s="1"/>
  <c r="E2020"/>
  <c r="E2019" s="1"/>
  <c r="E2018" s="1"/>
  <c r="E2017" s="1"/>
  <c r="E2015"/>
  <c r="E1923"/>
  <c r="E1922" s="1"/>
  <c r="E1914"/>
  <c r="E1913" s="1"/>
  <c r="E1912" s="1"/>
  <c r="E1917"/>
  <c r="E1916" s="1"/>
  <c r="E1915" s="1"/>
  <c r="E1903"/>
  <c r="E1902" s="1"/>
  <c r="E1905"/>
  <c r="E1901"/>
  <c r="E1909"/>
  <c r="E1908" s="1"/>
  <c r="E1907" s="1"/>
  <c r="E1887"/>
  <c r="E1886" s="1"/>
  <c r="E1882"/>
  <c r="E1881" s="1"/>
  <c r="E1868"/>
  <c r="E1871"/>
  <c r="E1870" s="1"/>
  <c r="E1869" s="1"/>
  <c r="E1865"/>
  <c r="E1864" s="1"/>
  <c r="E1863"/>
  <c r="E1862" s="1"/>
  <c r="E1838"/>
  <c r="E1827"/>
  <c r="E1824"/>
  <c r="E1817"/>
  <c r="E1816" s="1"/>
  <c r="E1815" s="1"/>
  <c r="E1814"/>
  <c r="E1813" s="1"/>
  <c r="E1812" s="1"/>
  <c r="E1811"/>
  <c r="E1810" s="1"/>
  <c r="E1808"/>
  <c r="E1807"/>
  <c r="E1804"/>
  <c r="E1803" s="1"/>
  <c r="E1802" s="1"/>
  <c r="E1799"/>
  <c r="E1798"/>
  <c r="E1797"/>
  <c r="E1796"/>
  <c r="E1795"/>
  <c r="E1794" s="1"/>
  <c r="E1793" s="1"/>
  <c r="E1792" s="1"/>
  <c r="E1790"/>
  <c r="E1789" s="1"/>
  <c r="E1787"/>
  <c r="E1786" s="1"/>
  <c r="E1785" s="1"/>
  <c r="E1784"/>
  <c r="E1781"/>
  <c r="E1780" s="1"/>
  <c r="E1779" s="1"/>
  <c r="E1778"/>
  <c r="E1776"/>
  <c r="E1774"/>
  <c r="E1773" s="1"/>
  <c r="E1771"/>
  <c r="E1769"/>
  <c r="E1767"/>
  <c r="E1766" s="1"/>
  <c r="E1762"/>
  <c r="E1761" s="1"/>
  <c r="E1760" s="1"/>
  <c r="E1759"/>
  <c r="E1758" s="1"/>
  <c r="E1753"/>
  <c r="E1750"/>
  <c r="E1749"/>
  <c r="E1747"/>
  <c r="E1746" s="1"/>
  <c r="E1740"/>
  <c r="E1737"/>
  <c r="E1736" s="1"/>
  <c r="E1735" s="1"/>
  <c r="E1734"/>
  <c r="E1733" s="1"/>
  <c r="E1732"/>
  <c r="E1731" s="1"/>
  <c r="E1729"/>
  <c r="E1726"/>
  <c r="E1725" s="1"/>
  <c r="E1724" s="1"/>
  <c r="E1721"/>
  <c r="E1719"/>
  <c r="E1718" s="1"/>
  <c r="E1717"/>
  <c r="E1716" s="1"/>
  <c r="E1714"/>
  <c r="E1713" s="1"/>
  <c r="E1709"/>
  <c r="E1708" s="1"/>
  <c r="E1707" s="1"/>
  <c r="E1704"/>
  <c r="E1697"/>
  <c r="E1696" s="1"/>
  <c r="E1694"/>
  <c r="E1691"/>
  <c r="E1690" s="1"/>
  <c r="E1689" s="1"/>
  <c r="E1678"/>
  <c r="E1677" s="1"/>
  <c r="E1687"/>
  <c r="I1687" s="1"/>
  <c r="E1683"/>
  <c r="E1673"/>
  <c r="E1671"/>
  <c r="E1670" s="1"/>
  <c r="E1664"/>
  <c r="E1663" s="1"/>
  <c r="E1662" s="1"/>
  <c r="E1661"/>
  <c r="E1660" s="1"/>
  <c r="E1659" s="1"/>
  <c r="E1656"/>
  <c r="E1655" s="1"/>
  <c r="E1653"/>
  <c r="E1648"/>
  <c r="E1647" s="1"/>
  <c r="E1646" s="1"/>
  <c r="E1645"/>
  <c r="E1640"/>
  <c r="E1639" s="1"/>
  <c r="E1638" s="1"/>
  <c r="E1637"/>
  <c r="E1634"/>
  <c r="E1633" s="1"/>
  <c r="E1632" s="1"/>
  <c r="E1631"/>
  <c r="E1625"/>
  <c r="E1624" s="1"/>
  <c r="E1623" s="1"/>
  <c r="E1622"/>
  <c r="E1612"/>
  <c r="E1611" s="1"/>
  <c r="E1617"/>
  <c r="E1616" s="1"/>
  <c r="E1615" s="1"/>
  <c r="E1605"/>
  <c r="E1604" s="1"/>
  <c r="E1603" s="1"/>
  <c r="E1602" s="1"/>
  <c r="E1600"/>
  <c r="E1599" s="1"/>
  <c r="E1597"/>
  <c r="E1596" s="1"/>
  <c r="E1595" s="1"/>
  <c r="E1594"/>
  <c r="E1593" s="1"/>
  <c r="E1592"/>
  <c r="E1591" s="1"/>
  <c r="E1442"/>
  <c r="I1442" s="1"/>
  <c r="E1443"/>
  <c r="E1440"/>
  <c r="E1433"/>
  <c r="E1432" s="1"/>
  <c r="E1431"/>
  <c r="E1426"/>
  <c r="E1424"/>
  <c r="E1423" s="1"/>
  <c r="E1417"/>
  <c r="E1416" s="1"/>
  <c r="E1415" s="1"/>
  <c r="E1412"/>
  <c r="E1402"/>
  <c r="E1405"/>
  <c r="E1404" s="1"/>
  <c r="E1403"/>
  <c r="E1400"/>
  <c r="E1399" s="1"/>
  <c r="E1397"/>
  <c r="E1394"/>
  <c r="E1393" s="1"/>
  <c r="E1392" s="1"/>
  <c r="E1378"/>
  <c r="E1377" s="1"/>
  <c r="E1375"/>
  <c r="E1373"/>
  <c r="E1372" s="1"/>
  <c r="E1371"/>
  <c r="E1448"/>
  <c r="E1365"/>
  <c r="E1364" s="1"/>
  <c r="E1363"/>
  <c r="E1362" s="1"/>
  <c r="E1356"/>
  <c r="E1355" s="1"/>
  <c r="E1354" s="1"/>
  <c r="E1350"/>
  <c r="E1347"/>
  <c r="E1346" s="1"/>
  <c r="E1345" s="1"/>
  <c r="E1342"/>
  <c r="E1341" s="1"/>
  <c r="E1339"/>
  <c r="E1337"/>
  <c r="E1336" s="1"/>
  <c r="E1334"/>
  <c r="E1231"/>
  <c r="E1230" s="1"/>
  <c r="E1229" s="1"/>
  <c r="E1210"/>
  <c r="E1208"/>
  <c r="E1206"/>
  <c r="E1196"/>
  <c r="E1195" s="1"/>
  <c r="E1194"/>
  <c r="E1193" s="1"/>
  <c r="E1187"/>
  <c r="E1186" s="1"/>
  <c r="E1185" s="1"/>
  <c r="E1183"/>
  <c r="I1183" s="1"/>
  <c r="E1179"/>
  <c r="E1178" s="1"/>
  <c r="E1163"/>
  <c r="E1162" s="1"/>
  <c r="E1149"/>
  <c r="E1143"/>
  <c r="E1141"/>
  <c r="E1140" s="1"/>
  <c r="E1114"/>
  <c r="E1113" s="1"/>
  <c r="E1112"/>
  <c r="E1109"/>
  <c r="E1103"/>
  <c r="E1102" s="1"/>
  <c r="E1105"/>
  <c r="E1101"/>
  <c r="E1100" s="1"/>
  <c r="E1096"/>
  <c r="E1095" s="1"/>
  <c r="E1094" s="1"/>
  <c r="E1092"/>
  <c r="E1090"/>
  <c r="E1089" s="1"/>
  <c r="E1088"/>
  <c r="E1083"/>
  <c r="E1082" s="1"/>
  <c r="E1081"/>
  <c r="E1080"/>
  <c r="E1078"/>
  <c r="E1077" s="1"/>
  <c r="E1124"/>
  <c r="E1123" s="1"/>
  <c r="E1122" s="1"/>
  <c r="E1119"/>
  <c r="E1127"/>
  <c r="E1135"/>
  <c r="E1134" s="1"/>
  <c r="E1133" s="1"/>
  <c r="E1064"/>
  <c r="E1063" s="1"/>
  <c r="E1068"/>
  <c r="E1062"/>
  <c r="E1053"/>
  <c r="E1052" s="1"/>
  <c r="E1040"/>
  <c r="E1039" s="1"/>
  <c r="E1038" s="1"/>
  <c r="E1046"/>
  <c r="E1045" s="1"/>
  <c r="E1043"/>
  <c r="E1042" s="1"/>
  <c r="E1041" s="1"/>
  <c r="E971"/>
  <c r="E970" s="1"/>
  <c r="E969" s="1"/>
  <c r="E968"/>
  <c r="E967" s="1"/>
  <c r="E966" s="1"/>
  <c r="E965"/>
  <c r="E964" s="1"/>
  <c r="E962"/>
  <c r="E961" s="1"/>
  <c r="E959"/>
  <c r="E956"/>
  <c r="E953"/>
  <c r="E952" s="1"/>
  <c r="E951" s="1"/>
  <c r="E950"/>
  <c r="E947"/>
  <c r="E946" s="1"/>
  <c r="E944"/>
  <c r="E941"/>
  <c r="E940" s="1"/>
  <c r="E939" s="1"/>
  <c r="E938"/>
  <c r="E937" s="1"/>
  <c r="E936" s="1"/>
  <c r="E935"/>
  <c r="E932"/>
  <c r="E929"/>
  <c r="E928" s="1"/>
  <c r="E927" s="1"/>
  <c r="E926"/>
  <c r="E925" s="1"/>
  <c r="E923"/>
  <c r="E922" s="1"/>
  <c r="E921" s="1"/>
  <c r="E920"/>
  <c r="E917"/>
  <c r="E916" s="1"/>
  <c r="E915" s="1"/>
  <c r="E914"/>
  <c r="E913" s="1"/>
  <c r="E912" s="1"/>
  <c r="E911"/>
  <c r="E910" s="1"/>
  <c r="E909" s="1"/>
  <c r="E908"/>
  <c r="E907" s="1"/>
  <c r="E906" s="1"/>
  <c r="E905"/>
  <c r="E904" s="1"/>
  <c r="E903" s="1"/>
  <c r="E902"/>
  <c r="E899"/>
  <c r="E898" s="1"/>
  <c r="E897" s="1"/>
  <c r="E893"/>
  <c r="E892" s="1"/>
  <c r="E891" s="1"/>
  <c r="E890"/>
  <c r="E889" s="1"/>
  <c r="E887"/>
  <c r="E886" s="1"/>
  <c r="E885" s="1"/>
  <c r="E884"/>
  <c r="E881"/>
  <c r="E880" s="1"/>
  <c r="E879" s="1"/>
  <c r="E878"/>
  <c r="E877" s="1"/>
  <c r="E876" s="1"/>
  <c r="E875"/>
  <c r="E874" s="1"/>
  <c r="E872"/>
  <c r="E871" s="1"/>
  <c r="E867"/>
  <c r="E866" s="1"/>
  <c r="E865" s="1"/>
  <c r="E864"/>
  <c r="E861"/>
  <c r="E855"/>
  <c r="E854" s="1"/>
  <c r="E853" s="1"/>
  <c r="E852"/>
  <c r="E849"/>
  <c r="E848" s="1"/>
  <c r="E847" s="1"/>
  <c r="E858"/>
  <c r="E846"/>
  <c r="E845" s="1"/>
  <c r="E843"/>
  <c r="E840"/>
  <c r="E837"/>
  <c r="E836" s="1"/>
  <c r="E835" s="1"/>
  <c r="E834"/>
  <c r="E831"/>
  <c r="E828"/>
  <c r="E827" s="1"/>
  <c r="E826" s="1"/>
  <c r="E825"/>
  <c r="E822"/>
  <c r="E819"/>
  <c r="E816"/>
  <c r="E815" s="1"/>
  <c r="E810"/>
  <c r="E809" s="1"/>
  <c r="E808" s="1"/>
  <c r="E813"/>
  <c r="E812" s="1"/>
  <c r="E811" s="1"/>
  <c r="E807"/>
  <c r="E804"/>
  <c r="E803" s="1"/>
  <c r="E802" s="1"/>
  <c r="E801"/>
  <c r="E798"/>
  <c r="E797" s="1"/>
  <c r="E796" s="1"/>
  <c r="E985"/>
  <c r="E984" s="1"/>
  <c r="E982"/>
  <c r="E979"/>
  <c r="E976"/>
  <c r="E975" s="1"/>
  <c r="E1004"/>
  <c r="E995"/>
  <c r="E1000"/>
  <c r="I1000" s="1"/>
  <c r="E998"/>
  <c r="E997"/>
  <c r="I997" s="1"/>
  <c r="E990"/>
  <c r="E989" s="1"/>
  <c r="E988" s="1"/>
  <c r="E1012"/>
  <c r="E1011" s="1"/>
  <c r="E1010" s="1"/>
  <c r="E1009"/>
  <c r="E1008" s="1"/>
  <c r="E1007" s="1"/>
  <c r="E718"/>
  <c r="E711"/>
  <c r="E710" s="1"/>
  <c r="E709" s="1"/>
  <c r="E698"/>
  <c r="E697" s="1"/>
  <c r="H1943" i="1"/>
  <c r="H1942" s="1"/>
  <c r="E686" i="2"/>
  <c r="E685"/>
  <c r="E683"/>
  <c r="E669"/>
  <c r="E666"/>
  <c r="E663"/>
  <c r="E662" s="1"/>
  <c r="E658"/>
  <c r="E655"/>
  <c r="E654" s="1"/>
  <c r="E653"/>
  <c r="E649"/>
  <c r="E646"/>
  <c r="E645"/>
  <c r="E640"/>
  <c r="E639" s="1"/>
  <c r="E635"/>
  <c r="E629"/>
  <c r="E628" s="1"/>
  <c r="E625"/>
  <c r="E620"/>
  <c r="E615"/>
  <c r="E614" s="1"/>
  <c r="E613"/>
  <c r="E607"/>
  <c r="E606" s="1"/>
  <c r="E604"/>
  <c r="E603" s="1"/>
  <c r="E602"/>
  <c r="E601" s="1"/>
  <c r="E599"/>
  <c r="E598" s="1"/>
  <c r="E597"/>
  <c r="E596" s="1"/>
  <c r="E594"/>
  <c r="E592"/>
  <c r="E591" s="1"/>
  <c r="E589"/>
  <c r="E588" s="1"/>
  <c r="E587"/>
  <c r="E586" s="1"/>
  <c r="E584"/>
  <c r="E583" s="1"/>
  <c r="E582"/>
  <c r="E581" s="1"/>
  <c r="E579"/>
  <c r="E578" s="1"/>
  <c r="E577"/>
  <c r="E576" s="1"/>
  <c r="E574"/>
  <c r="E573" s="1"/>
  <c r="E572"/>
  <c r="E569"/>
  <c r="E568" s="1"/>
  <c r="E567"/>
  <c r="E566" s="1"/>
  <c r="E564"/>
  <c r="E563" s="1"/>
  <c r="E562"/>
  <c r="E561" s="1"/>
  <c r="E559"/>
  <c r="E558" s="1"/>
  <c r="E557"/>
  <c r="E556" s="1"/>
  <c r="E554"/>
  <c r="E552"/>
  <c r="E549"/>
  <c r="E548" s="1"/>
  <c r="E547"/>
  <c r="E544"/>
  <c r="E543" s="1"/>
  <c r="E542"/>
  <c r="E541" s="1"/>
  <c r="E539"/>
  <c r="E538" s="1"/>
  <c r="E537"/>
  <c r="E536" s="1"/>
  <c r="E534"/>
  <c r="E532"/>
  <c r="E531" s="1"/>
  <c r="E529"/>
  <c r="E528" s="1"/>
  <c r="E527"/>
  <c r="E522"/>
  <c r="E521" s="1"/>
  <c r="E519"/>
  <c r="E517"/>
  <c r="E514"/>
  <c r="E512"/>
  <c r="E511" s="1"/>
  <c r="E509"/>
  <c r="E508" s="1"/>
  <c r="E507"/>
  <c r="E506" s="1"/>
  <c r="E502"/>
  <c r="E501" s="1"/>
  <c r="E499"/>
  <c r="E498" s="1"/>
  <c r="E497" s="1"/>
  <c r="E494"/>
  <c r="E491"/>
  <c r="E489"/>
  <c r="E488" s="1"/>
  <c r="E484"/>
  <c r="E483" s="1"/>
  <c r="E481"/>
  <c r="E479"/>
  <c r="E478" s="1"/>
  <c r="E476"/>
  <c r="E475" s="1"/>
  <c r="E474" s="1"/>
  <c r="E473"/>
  <c r="E471"/>
  <c r="E468"/>
  <c r="E467" s="1"/>
  <c r="E466"/>
  <c r="E463"/>
  <c r="E461"/>
  <c r="E460" s="1"/>
  <c r="E458"/>
  <c r="E456"/>
  <c r="E453"/>
  <c r="E451"/>
  <c r="E450" s="1"/>
  <c r="E448"/>
  <c r="E447" s="1"/>
  <c r="E446"/>
  <c r="E443"/>
  <c r="E441"/>
  <c r="E440" s="1"/>
  <c r="E438"/>
  <c r="E436"/>
  <c r="E435" s="1"/>
  <c r="E433"/>
  <c r="E430"/>
  <c r="E429" s="1"/>
  <c r="E427"/>
  <c r="E399"/>
  <c r="E398" s="1"/>
  <c r="E422"/>
  <c r="E421" s="1"/>
  <c r="E420" s="1"/>
  <c r="E419"/>
  <c r="E416"/>
  <c r="E415" s="1"/>
  <c r="E414" s="1"/>
  <c r="E413"/>
  <c r="E412" s="1"/>
  <c r="E411"/>
  <c r="E410" s="1"/>
  <c r="E408"/>
  <c r="E407" s="1"/>
  <c r="E406" s="1"/>
  <c r="E404"/>
  <c r="E397"/>
  <c r="E392"/>
  <c r="E391" s="1"/>
  <c r="E76"/>
  <c r="E75"/>
  <c r="E27"/>
  <c r="E26" s="1"/>
  <c r="E25" s="1"/>
  <c r="E18"/>
  <c r="E17" s="1"/>
  <c r="E15"/>
  <c r="E14" s="1"/>
  <c r="J1540"/>
  <c r="J89" i="3"/>
  <c r="I89"/>
  <c r="J88"/>
  <c r="I88"/>
  <c r="J87"/>
  <c r="I87"/>
  <c r="J84"/>
  <c r="I84"/>
  <c r="J81"/>
  <c r="I81"/>
  <c r="J80"/>
  <c r="I80"/>
  <c r="J77"/>
  <c r="I77"/>
  <c r="J76"/>
  <c r="I76"/>
  <c r="J73"/>
  <c r="I73"/>
  <c r="J72"/>
  <c r="I72"/>
  <c r="J71"/>
  <c r="I71"/>
  <c r="J70"/>
  <c r="I70"/>
  <c r="J69"/>
  <c r="I69"/>
  <c r="J66"/>
  <c r="I66"/>
  <c r="J65"/>
  <c r="I65"/>
  <c r="J64"/>
  <c r="I64"/>
  <c r="J63"/>
  <c r="I63"/>
  <c r="J62"/>
  <c r="I62"/>
  <c r="J61"/>
  <c r="I61"/>
  <c r="J58"/>
  <c r="I58"/>
  <c r="J57"/>
  <c r="I57"/>
  <c r="J54"/>
  <c r="I54"/>
  <c r="J53"/>
  <c r="I53"/>
  <c r="J52"/>
  <c r="I52"/>
  <c r="J51"/>
  <c r="I51"/>
  <c r="J50"/>
  <c r="I50"/>
  <c r="J49"/>
  <c r="I49"/>
  <c r="J48"/>
  <c r="I48"/>
  <c r="J45"/>
  <c r="I45"/>
  <c r="J42"/>
  <c r="I42"/>
  <c r="J40"/>
  <c r="I40"/>
  <c r="J39"/>
  <c r="I39"/>
  <c r="J36"/>
  <c r="I36"/>
  <c r="J35"/>
  <c r="I35"/>
  <c r="J34"/>
  <c r="I34"/>
  <c r="J33"/>
  <c r="I33"/>
  <c r="J32"/>
  <c r="I32"/>
  <c r="I31"/>
  <c r="J30"/>
  <c r="I30"/>
  <c r="J29"/>
  <c r="I29"/>
  <c r="J28"/>
  <c r="I28"/>
  <c r="J25"/>
  <c r="I25"/>
  <c r="J24"/>
  <c r="I24"/>
  <c r="J21"/>
  <c r="I21"/>
  <c r="H20"/>
  <c r="F20"/>
  <c r="E20"/>
  <c r="J18"/>
  <c r="I18"/>
  <c r="I16"/>
  <c r="J15"/>
  <c r="I15"/>
  <c r="J14"/>
  <c r="I14"/>
  <c r="J13"/>
  <c r="I13"/>
  <c r="J12"/>
  <c r="I12"/>
  <c r="J11"/>
  <c r="I11"/>
  <c r="J10"/>
  <c r="I10"/>
  <c r="H86"/>
  <c r="G86"/>
  <c r="F86"/>
  <c r="E86"/>
  <c r="H83"/>
  <c r="G83"/>
  <c r="F83"/>
  <c r="E83"/>
  <c r="H79"/>
  <c r="G79"/>
  <c r="F79"/>
  <c r="E79"/>
  <c r="H75"/>
  <c r="G75"/>
  <c r="F75"/>
  <c r="E75"/>
  <c r="H68"/>
  <c r="J68" s="1"/>
  <c r="G68"/>
  <c r="F68"/>
  <c r="E68"/>
  <c r="H60"/>
  <c r="G60"/>
  <c r="F60"/>
  <c r="E60"/>
  <c r="H56"/>
  <c r="F56"/>
  <c r="G56"/>
  <c r="E56"/>
  <c r="H47"/>
  <c r="G47"/>
  <c r="F47"/>
  <c r="E47"/>
  <c r="H44"/>
  <c r="I44" s="1"/>
  <c r="G44"/>
  <c r="F44"/>
  <c r="H27"/>
  <c r="G27"/>
  <c r="F27"/>
  <c r="E27"/>
  <c r="H23"/>
  <c r="G23"/>
  <c r="F23"/>
  <c r="E23"/>
  <c r="G20"/>
  <c r="H9"/>
  <c r="G9"/>
  <c r="F9"/>
  <c r="E9"/>
  <c r="K1466" i="1"/>
  <c r="J1466"/>
  <c r="J1465" s="1"/>
  <c r="I1466"/>
  <c r="I1465" s="1"/>
  <c r="H1466"/>
  <c r="H1465" s="1"/>
  <c r="K2947"/>
  <c r="H2947"/>
  <c r="J2947"/>
  <c r="I2947"/>
  <c r="K2944"/>
  <c r="J2944"/>
  <c r="I2944"/>
  <c r="H2944"/>
  <c r="K2987"/>
  <c r="H2987"/>
  <c r="J2987"/>
  <c r="I2987"/>
  <c r="K2985"/>
  <c r="J2985"/>
  <c r="I2985"/>
  <c r="H2985"/>
  <c r="K2978"/>
  <c r="L2978" s="1"/>
  <c r="H2978"/>
  <c r="J2978"/>
  <c r="I2978"/>
  <c r="K2976"/>
  <c r="J2976"/>
  <c r="I2976"/>
  <c r="K2974"/>
  <c r="J2974"/>
  <c r="I2974"/>
  <c r="H2976"/>
  <c r="H2783"/>
  <c r="H2782" s="1"/>
  <c r="K2720"/>
  <c r="J2720"/>
  <c r="I2720"/>
  <c r="E2041" i="2"/>
  <c r="E2079"/>
  <c r="K2625" i="1"/>
  <c r="J2625"/>
  <c r="J2624" s="1"/>
  <c r="I2625"/>
  <c r="I2624" s="1"/>
  <c r="H2625"/>
  <c r="K2568"/>
  <c r="H2568"/>
  <c r="J2568"/>
  <c r="I2568"/>
  <c r="K2566"/>
  <c r="J2566"/>
  <c r="I2566"/>
  <c r="K2564"/>
  <c r="I2564"/>
  <c r="J2564"/>
  <c r="H2566"/>
  <c r="H2564"/>
  <c r="K2457"/>
  <c r="J2457"/>
  <c r="J2455"/>
  <c r="I2457"/>
  <c r="K2455"/>
  <c r="I2455"/>
  <c r="K2451"/>
  <c r="H2451"/>
  <c r="J2451"/>
  <c r="I2451"/>
  <c r="K2449"/>
  <c r="J2449"/>
  <c r="I2449"/>
  <c r="H2457"/>
  <c r="K2422"/>
  <c r="J2422"/>
  <c r="I2422"/>
  <c r="I2420"/>
  <c r="K2420"/>
  <c r="J2420"/>
  <c r="H2422"/>
  <c r="H2420"/>
  <c r="K2416"/>
  <c r="I2416"/>
  <c r="I2415" s="1"/>
  <c r="H2416"/>
  <c r="H2415" s="1"/>
  <c r="J2416"/>
  <c r="J2415" s="1"/>
  <c r="K2399"/>
  <c r="H2399"/>
  <c r="J2399"/>
  <c r="J2398" s="1"/>
  <c r="I2399"/>
  <c r="I2398" s="1"/>
  <c r="K2395"/>
  <c r="J2395"/>
  <c r="J2394" s="1"/>
  <c r="I2395"/>
  <c r="I2394" s="1"/>
  <c r="K2392"/>
  <c r="J2392"/>
  <c r="J2391" s="1"/>
  <c r="I2392"/>
  <c r="I2391" s="1"/>
  <c r="K2389"/>
  <c r="J2389"/>
  <c r="J2388" s="1"/>
  <c r="I2389"/>
  <c r="H2395"/>
  <c r="H2392"/>
  <c r="H2391" s="1"/>
  <c r="H2389"/>
  <c r="H2388" s="1"/>
  <c r="K2383"/>
  <c r="H2383"/>
  <c r="J2383"/>
  <c r="I2383"/>
  <c r="K2380"/>
  <c r="J2380"/>
  <c r="I2380"/>
  <c r="H2380"/>
  <c r="H2312"/>
  <c r="K2304"/>
  <c r="J2304"/>
  <c r="I2304"/>
  <c r="K2292"/>
  <c r="J2292"/>
  <c r="J2291" s="1"/>
  <c r="J2290" s="1"/>
  <c r="I2292"/>
  <c r="I2291" s="1"/>
  <c r="H2292"/>
  <c r="H2291" s="1"/>
  <c r="H2290" s="1"/>
  <c r="H2280"/>
  <c r="H2270"/>
  <c r="H2268"/>
  <c r="H2261"/>
  <c r="K2232"/>
  <c r="J2232"/>
  <c r="J2231" s="1"/>
  <c r="J2230" s="1"/>
  <c r="I2232"/>
  <c r="I2231" s="1"/>
  <c r="I2230" s="1"/>
  <c r="H2232"/>
  <c r="K2212"/>
  <c r="J2212"/>
  <c r="J2211" s="1"/>
  <c r="I2212"/>
  <c r="I2211" s="1"/>
  <c r="H2212"/>
  <c r="H2211" s="1"/>
  <c r="K2140"/>
  <c r="J2140"/>
  <c r="I2140"/>
  <c r="K2138"/>
  <c r="J2138"/>
  <c r="I2138"/>
  <c r="H2140"/>
  <c r="H2138"/>
  <c r="K1907"/>
  <c r="J1907"/>
  <c r="I1907"/>
  <c r="H1907"/>
  <c r="K1877"/>
  <c r="J1877"/>
  <c r="I1877"/>
  <c r="K1875"/>
  <c r="J1875"/>
  <c r="I1875"/>
  <c r="H1875"/>
  <c r="K1864"/>
  <c r="J1864"/>
  <c r="J1863" s="1"/>
  <c r="I1864"/>
  <c r="I1863" s="1"/>
  <c r="H1864"/>
  <c r="K1849"/>
  <c r="J1849"/>
  <c r="I1849"/>
  <c r="H1849"/>
  <c r="J1722"/>
  <c r="I1722"/>
  <c r="M1722" s="1"/>
  <c r="H1722"/>
  <c r="L1722" s="1"/>
  <c r="J1718"/>
  <c r="J1717" s="1"/>
  <c r="J1716" s="1"/>
  <c r="I1718"/>
  <c r="H1718"/>
  <c r="J1615"/>
  <c r="I1615"/>
  <c r="M1615" s="1"/>
  <c r="J1614"/>
  <c r="I1614"/>
  <c r="M1614" s="1"/>
  <c r="H1614"/>
  <c r="L1614" s="1"/>
  <c r="H1615"/>
  <c r="L1615" s="1"/>
  <c r="K1481"/>
  <c r="J1481"/>
  <c r="J1480" s="1"/>
  <c r="I1481"/>
  <c r="I1480" s="1"/>
  <c r="H1481"/>
  <c r="H1480" s="1"/>
  <c r="H1455"/>
  <c r="K1441"/>
  <c r="J1441"/>
  <c r="J1440" s="1"/>
  <c r="I1441"/>
  <c r="H1441"/>
  <c r="K1333"/>
  <c r="J1333"/>
  <c r="J1332" s="1"/>
  <c r="I1333"/>
  <c r="H1333"/>
  <c r="H1332" s="1"/>
  <c r="K1330"/>
  <c r="J1330"/>
  <c r="J1329" s="1"/>
  <c r="I1330"/>
  <c r="I1329" s="1"/>
  <c r="H1330"/>
  <c r="H1329" s="1"/>
  <c r="K1324"/>
  <c r="J1324"/>
  <c r="J1323" s="1"/>
  <c r="I1324"/>
  <c r="I1323" s="1"/>
  <c r="K1321"/>
  <c r="J1321"/>
  <c r="J1320" s="1"/>
  <c r="I1321"/>
  <c r="I1320" s="1"/>
  <c r="H1324"/>
  <c r="H1323" s="1"/>
  <c r="H1321"/>
  <c r="H1320" s="1"/>
  <c r="H1318"/>
  <c r="H1317" s="1"/>
  <c r="K1312"/>
  <c r="J1312"/>
  <c r="J1311" s="1"/>
  <c r="I1312"/>
  <c r="I1311" s="1"/>
  <c r="K1309"/>
  <c r="J1309"/>
  <c r="J1308" s="1"/>
  <c r="I1309"/>
  <c r="K1306"/>
  <c r="J1306"/>
  <c r="J1305" s="1"/>
  <c r="I1306"/>
  <c r="H1312"/>
  <c r="H1309"/>
  <c r="H1308" s="1"/>
  <c r="H1306"/>
  <c r="H1305" s="1"/>
  <c r="K1303"/>
  <c r="J1303"/>
  <c r="J1302" s="1"/>
  <c r="I1303"/>
  <c r="I1302" s="1"/>
  <c r="H1303"/>
  <c r="H1302" s="1"/>
  <c r="K1300"/>
  <c r="J1300"/>
  <c r="J1299" s="1"/>
  <c r="I1300"/>
  <c r="H1300"/>
  <c r="K1294"/>
  <c r="J1294"/>
  <c r="J1293" s="1"/>
  <c r="I1294"/>
  <c r="I1293" s="1"/>
  <c r="H1294"/>
  <c r="K1276"/>
  <c r="J1276"/>
  <c r="J1275" s="1"/>
  <c r="I1276"/>
  <c r="I1275" s="1"/>
  <c r="K1273"/>
  <c r="J1273"/>
  <c r="J1272" s="1"/>
  <c r="I1273"/>
  <c r="I1272" s="1"/>
  <c r="H1276"/>
  <c r="H1275" s="1"/>
  <c r="H1273"/>
  <c r="H1272" s="1"/>
  <c r="G1441"/>
  <c r="G1440" s="1"/>
  <c r="E1353" i="2"/>
  <c r="E1171"/>
  <c r="E1170" s="1"/>
  <c r="E1160"/>
  <c r="E1146"/>
  <c r="E1145" s="1"/>
  <c r="E1144" s="1"/>
  <c r="E715"/>
  <c r="E714"/>
  <c r="E294"/>
  <c r="E293"/>
  <c r="E287"/>
  <c r="E286" s="1"/>
  <c r="E285" s="1"/>
  <c r="E354"/>
  <c r="E353" s="1"/>
  <c r="E352" s="1"/>
  <c r="E632"/>
  <c r="E631"/>
  <c r="E290"/>
  <c r="E277"/>
  <c r="E276" s="1"/>
  <c r="K1197" i="1"/>
  <c r="J1197"/>
  <c r="J1196" s="1"/>
  <c r="J1195" s="1"/>
  <c r="I1197"/>
  <c r="I1196" s="1"/>
  <c r="I1195" s="1"/>
  <c r="H1197"/>
  <c r="H1196" s="1"/>
  <c r="H1195" s="1"/>
  <c r="K1159"/>
  <c r="J1159"/>
  <c r="J1158" s="1"/>
  <c r="I1159"/>
  <c r="I1158" s="1"/>
  <c r="H1159"/>
  <c r="H1158" s="1"/>
  <c r="H1144"/>
  <c r="K1097"/>
  <c r="J1097"/>
  <c r="J1096" s="1"/>
  <c r="I1097"/>
  <c r="H1097"/>
  <c r="H1096" s="1"/>
  <c r="K1066"/>
  <c r="J1066"/>
  <c r="J1065" s="1"/>
  <c r="J1064" s="1"/>
  <c r="I1066"/>
  <c r="H1066"/>
  <c r="K1022"/>
  <c r="J1022"/>
  <c r="J1021" s="1"/>
  <c r="I1022"/>
  <c r="H1022"/>
  <c r="H1021" s="1"/>
  <c r="K1016"/>
  <c r="J1016"/>
  <c r="I1016"/>
  <c r="K1014"/>
  <c r="J1014"/>
  <c r="I1014"/>
  <c r="H1016"/>
  <c r="H1014"/>
  <c r="K1007"/>
  <c r="J1007"/>
  <c r="J1006" s="1"/>
  <c r="I1007"/>
  <c r="I1006" s="1"/>
  <c r="K997"/>
  <c r="J997"/>
  <c r="J996" s="1"/>
  <c r="J995" s="1"/>
  <c r="I997"/>
  <c r="I996" s="1"/>
  <c r="I995" s="1"/>
  <c r="H997"/>
  <c r="H996" s="1"/>
  <c r="H995" s="1"/>
  <c r="K970"/>
  <c r="J970"/>
  <c r="J969" s="1"/>
  <c r="J968" s="1"/>
  <c r="J967" s="1"/>
  <c r="I970"/>
  <c r="I969" s="1"/>
  <c r="H970"/>
  <c r="H969" s="1"/>
  <c r="H968" s="1"/>
  <c r="H967" s="1"/>
  <c r="E2138" i="2"/>
  <c r="E2137"/>
  <c r="K945" i="1"/>
  <c r="J945"/>
  <c r="J944" s="1"/>
  <c r="J943" s="1"/>
  <c r="I945"/>
  <c r="I944" s="1"/>
  <c r="I943" s="1"/>
  <c r="K939"/>
  <c r="J939"/>
  <c r="J938" s="1"/>
  <c r="J937" s="1"/>
  <c r="I939"/>
  <c r="I938" s="1"/>
  <c r="H962"/>
  <c r="H945"/>
  <c r="H944" s="1"/>
  <c r="H943" s="1"/>
  <c r="H939"/>
  <c r="H938" s="1"/>
  <c r="H951"/>
  <c r="H950" s="1"/>
  <c r="H949" s="1"/>
  <c r="E1856" i="2"/>
  <c r="E1855" s="1"/>
  <c r="E1853"/>
  <c r="E1852" s="1"/>
  <c r="E1851" s="1"/>
  <c r="E1848"/>
  <c r="E1846"/>
  <c r="E1845" s="1"/>
  <c r="E1843"/>
  <c r="E1228"/>
  <c r="E1227" s="1"/>
  <c r="E1226" s="1"/>
  <c r="K930" i="1"/>
  <c r="I930"/>
  <c r="J930"/>
  <c r="K928"/>
  <c r="J928"/>
  <c r="I928"/>
  <c r="K923"/>
  <c r="J923"/>
  <c r="J922" s="1"/>
  <c r="J921" s="1"/>
  <c r="J920" s="1"/>
  <c r="I923"/>
  <c r="I922" s="1"/>
  <c r="I921" s="1"/>
  <c r="I920" s="1"/>
  <c r="K911"/>
  <c r="J911"/>
  <c r="J910" s="1"/>
  <c r="I911"/>
  <c r="I910" s="1"/>
  <c r="K908"/>
  <c r="J908"/>
  <c r="J907" s="1"/>
  <c r="I908"/>
  <c r="K904"/>
  <c r="J904"/>
  <c r="I904"/>
  <c r="K902"/>
  <c r="J902"/>
  <c r="I902"/>
  <c r="K899"/>
  <c r="J899"/>
  <c r="J898" s="1"/>
  <c r="I899"/>
  <c r="K894"/>
  <c r="J894"/>
  <c r="J893" s="1"/>
  <c r="J892" s="1"/>
  <c r="J891" s="1"/>
  <c r="I894"/>
  <c r="I893" s="1"/>
  <c r="I892" s="1"/>
  <c r="I891" s="1"/>
  <c r="H930"/>
  <c r="H923"/>
  <c r="H922" s="1"/>
  <c r="H921" s="1"/>
  <c r="H920" s="1"/>
  <c r="H911"/>
  <c r="H910" s="1"/>
  <c r="H908"/>
  <c r="H907" s="1"/>
  <c r="H904"/>
  <c r="H902"/>
  <c r="H899"/>
  <c r="H894"/>
  <c r="H879"/>
  <c r="K863"/>
  <c r="J863"/>
  <c r="I863"/>
  <c r="K861"/>
  <c r="J861"/>
  <c r="I861"/>
  <c r="H861"/>
  <c r="H863"/>
  <c r="K789"/>
  <c r="J789"/>
  <c r="J788" s="1"/>
  <c r="J787" s="1"/>
  <c r="I789"/>
  <c r="I788" s="1"/>
  <c r="I787" s="1"/>
  <c r="H789"/>
  <c r="H788" s="1"/>
  <c r="H787" s="1"/>
  <c r="K752"/>
  <c r="J752"/>
  <c r="J751" s="1"/>
  <c r="J750" s="1"/>
  <c r="J749" s="1"/>
  <c r="J748" s="1"/>
  <c r="I752"/>
  <c r="I751" s="1"/>
  <c r="I750" s="1"/>
  <c r="I749" s="1"/>
  <c r="I748" s="1"/>
  <c r="H752"/>
  <c r="H751" s="1"/>
  <c r="H750" s="1"/>
  <c r="H749" s="1"/>
  <c r="H748" s="1"/>
  <c r="G749"/>
  <c r="G748" s="1"/>
  <c r="E165" i="2"/>
  <c r="E164" s="1"/>
  <c r="E160"/>
  <c r="E159" s="1"/>
  <c r="E152"/>
  <c r="E150"/>
  <c r="E145"/>
  <c r="E144"/>
  <c r="E142"/>
  <c r="E140"/>
  <c r="E139" s="1"/>
  <c r="E135"/>
  <c r="E134" s="1"/>
  <c r="E123"/>
  <c r="E122" s="1"/>
  <c r="E121" s="1"/>
  <c r="E114"/>
  <c r="E106"/>
  <c r="E105" s="1"/>
  <c r="E104" s="1"/>
  <c r="E101"/>
  <c r="E100"/>
  <c r="E98"/>
  <c r="E97" s="1"/>
  <c r="E89"/>
  <c r="E88" s="1"/>
  <c r="E95"/>
  <c r="E94"/>
  <c r="E92"/>
  <c r="E91"/>
  <c r="E86"/>
  <c r="E85" s="1"/>
  <c r="E70"/>
  <c r="E69" s="1"/>
  <c r="E68" s="1"/>
  <c r="K744" i="1"/>
  <c r="J744"/>
  <c r="J743" s="1"/>
  <c r="J742" s="1"/>
  <c r="I744"/>
  <c r="I743" s="1"/>
  <c r="I742" s="1"/>
  <c r="H744"/>
  <c r="K729"/>
  <c r="H729"/>
  <c r="J729"/>
  <c r="I729"/>
  <c r="K727"/>
  <c r="J727"/>
  <c r="I727"/>
  <c r="E2143" i="2"/>
  <c r="E2142"/>
  <c r="E128"/>
  <c r="E127" s="1"/>
  <c r="E126"/>
  <c r="E125" s="1"/>
  <c r="E117"/>
  <c r="E111"/>
  <c r="E109"/>
  <c r="E24"/>
  <c r="E23" s="1"/>
  <c r="K610" i="1"/>
  <c r="J610"/>
  <c r="J609" s="1"/>
  <c r="J608" s="1"/>
  <c r="J607" s="1"/>
  <c r="I610"/>
  <c r="I609" s="1"/>
  <c r="I608" s="1"/>
  <c r="I607" s="1"/>
  <c r="H610"/>
  <c r="H609" s="1"/>
  <c r="K605"/>
  <c r="J605"/>
  <c r="J604" s="1"/>
  <c r="I605"/>
  <c r="I604" s="1"/>
  <c r="H605"/>
  <c r="H604" s="1"/>
  <c r="H603" s="1"/>
  <c r="K593"/>
  <c r="J593"/>
  <c r="J592" s="1"/>
  <c r="I593"/>
  <c r="I592" s="1"/>
  <c r="H593"/>
  <c r="H592" s="1"/>
  <c r="E81" i="2"/>
  <c r="E80" s="1"/>
  <c r="E79" s="1"/>
  <c r="E78" s="1"/>
  <c r="J562" i="1"/>
  <c r="J561" s="1"/>
  <c r="J560" s="1"/>
  <c r="J559" s="1"/>
  <c r="H557"/>
  <c r="H556" s="1"/>
  <c r="H555" s="1"/>
  <c r="H553"/>
  <c r="H552" s="1"/>
  <c r="E2113" i="2"/>
  <c r="E1253"/>
  <c r="E1248"/>
  <c r="E1247" s="1"/>
  <c r="E1246" s="1"/>
  <c r="E1243"/>
  <c r="E1240"/>
  <c r="E1237"/>
  <c r="E1166"/>
  <c r="E1165" s="1"/>
  <c r="K493" i="1"/>
  <c r="J493"/>
  <c r="J492" s="1"/>
  <c r="J491" s="1"/>
  <c r="I493"/>
  <c r="I492" s="1"/>
  <c r="I491" s="1"/>
  <c r="H493"/>
  <c r="H492" s="1"/>
  <c r="H491" s="1"/>
  <c r="E1487" i="2"/>
  <c r="E1484"/>
  <c r="E1483" s="1"/>
  <c r="E1481"/>
  <c r="E1480" s="1"/>
  <c r="E1478"/>
  <c r="E1473"/>
  <c r="E1472" s="1"/>
  <c r="E1471" s="1"/>
  <c r="E1470"/>
  <c r="E1469" s="1"/>
  <c r="E1465"/>
  <c r="E1462"/>
  <c r="E1461" s="1"/>
  <c r="E1460" s="1"/>
  <c r="E1459"/>
  <c r="E1458" s="1"/>
  <c r="E1457"/>
  <c r="E1954"/>
  <c r="E1535"/>
  <c r="E1532"/>
  <c r="E1526"/>
  <c r="E1525" s="1"/>
  <c r="E1524" s="1"/>
  <c r="H362" i="1"/>
  <c r="H361" s="1"/>
  <c r="H360" s="1"/>
  <c r="H359" s="1"/>
  <c r="H367"/>
  <c r="H353"/>
  <c r="H352" s="1"/>
  <c r="H351" s="1"/>
  <c r="K334"/>
  <c r="J334"/>
  <c r="J333" s="1"/>
  <c r="I334"/>
  <c r="H334"/>
  <c r="H333" s="1"/>
  <c r="E1960" i="2"/>
  <c r="E1959" s="1"/>
  <c r="E1958" s="1"/>
  <c r="E1957"/>
  <c r="E1956" s="1"/>
  <c r="E1955" s="1"/>
  <c r="E1949"/>
  <c r="E1948" s="1"/>
  <c r="E1947" s="1"/>
  <c r="E1946"/>
  <c r="E1943"/>
  <c r="E1942" s="1"/>
  <c r="E1936"/>
  <c r="E1935" s="1"/>
  <c r="E1934"/>
  <c r="E1933" s="1"/>
  <c r="E896"/>
  <c r="K256" i="1"/>
  <c r="J256"/>
  <c r="J255" s="1"/>
  <c r="J254" s="1"/>
  <c r="I256"/>
  <c r="H256"/>
  <c r="H255" s="1"/>
  <c r="E1926" i="2"/>
  <c r="E1529"/>
  <c r="E1528" s="1"/>
  <c r="E1527" s="1"/>
  <c r="E1203"/>
  <c r="E157"/>
  <c r="E156" s="1"/>
  <c r="E155" s="1"/>
  <c r="K184" i="1"/>
  <c r="J184"/>
  <c r="I184"/>
  <c r="K182"/>
  <c r="J182"/>
  <c r="I182"/>
  <c r="H182"/>
  <c r="H184"/>
  <c r="E1920" i="2"/>
  <c r="E1919" s="1"/>
  <c r="E1918" s="1"/>
  <c r="K146" i="1"/>
  <c r="J146"/>
  <c r="J145" s="1"/>
  <c r="I146"/>
  <c r="I145" s="1"/>
  <c r="H146"/>
  <c r="E1952" i="2"/>
  <c r="E1941"/>
  <c r="E1157"/>
  <c r="E1156" s="1"/>
  <c r="E1154"/>
  <c r="E1153" s="1"/>
  <c r="E1152" s="1"/>
  <c r="K63" i="1"/>
  <c r="J63"/>
  <c r="I63"/>
  <c r="H63"/>
  <c r="E1055" i="2"/>
  <c r="H37" i="1"/>
  <c r="H36" s="1"/>
  <c r="H35" s="1"/>
  <c r="E1072" i="2"/>
  <c r="E1071" s="1"/>
  <c r="E1070" s="1"/>
  <c r="E1275"/>
  <c r="E1274" s="1"/>
  <c r="E1273" s="1"/>
  <c r="E1272"/>
  <c r="E1269"/>
  <c r="E1268" s="1"/>
  <c r="E1266"/>
  <c r="E1265" s="1"/>
  <c r="E1263"/>
  <c r="E1260"/>
  <c r="E1259" s="1"/>
  <c r="L23" i="1"/>
  <c r="K22"/>
  <c r="K21" s="1"/>
  <c r="J22"/>
  <c r="J21" s="1"/>
  <c r="I22"/>
  <c r="I21" s="1"/>
  <c r="H22"/>
  <c r="H21" s="1"/>
  <c r="G22"/>
  <c r="G21" s="1"/>
  <c r="K2965"/>
  <c r="J2965"/>
  <c r="J2964" s="1"/>
  <c r="I2965"/>
  <c r="I2964" s="1"/>
  <c r="H2965"/>
  <c r="H2964" s="1"/>
  <c r="K2962"/>
  <c r="J2962"/>
  <c r="I2962"/>
  <c r="H2962"/>
  <c r="K2960"/>
  <c r="J2960"/>
  <c r="I2960"/>
  <c r="K2956"/>
  <c r="J2955"/>
  <c r="J2954" s="1"/>
  <c r="I2955"/>
  <c r="I2954" s="1"/>
  <c r="H2956"/>
  <c r="H2955" s="1"/>
  <c r="H2954" s="1"/>
  <c r="G2965"/>
  <c r="G2964" s="1"/>
  <c r="G2962"/>
  <c r="G2960"/>
  <c r="G2956"/>
  <c r="G2955" s="1"/>
  <c r="G2954" s="1"/>
  <c r="K2940"/>
  <c r="J2940"/>
  <c r="I2940"/>
  <c r="H2940"/>
  <c r="K2938"/>
  <c r="J2938"/>
  <c r="I2938"/>
  <c r="H2938"/>
  <c r="G2938"/>
  <c r="G2936" s="1"/>
  <c r="G2935" s="1"/>
  <c r="K2933"/>
  <c r="J2933"/>
  <c r="I2933"/>
  <c r="H2933"/>
  <c r="K2931"/>
  <c r="J2931"/>
  <c r="H2931"/>
  <c r="K2929"/>
  <c r="J2929"/>
  <c r="I2929"/>
  <c r="G2933"/>
  <c r="G2931"/>
  <c r="G2929"/>
  <c r="K2920"/>
  <c r="J2920"/>
  <c r="I2920"/>
  <c r="K2918"/>
  <c r="J2918"/>
  <c r="I2918"/>
  <c r="H2918"/>
  <c r="K2916"/>
  <c r="J2916"/>
  <c r="I2916"/>
  <c r="G2920"/>
  <c r="G2918"/>
  <c r="G2916"/>
  <c r="K2907"/>
  <c r="J2907"/>
  <c r="I2907"/>
  <c r="H2907"/>
  <c r="K2905"/>
  <c r="J2905"/>
  <c r="I2905"/>
  <c r="H2905"/>
  <c r="K2903"/>
  <c r="J2903"/>
  <c r="I2903"/>
  <c r="H2903"/>
  <c r="G2907"/>
  <c r="G2905"/>
  <c r="G2903"/>
  <c r="K2891"/>
  <c r="J2891"/>
  <c r="I2891"/>
  <c r="H2891"/>
  <c r="K2889"/>
  <c r="J2889"/>
  <c r="I2889"/>
  <c r="H2889"/>
  <c r="G2893"/>
  <c r="G2891"/>
  <c r="G2889"/>
  <c r="K2880"/>
  <c r="J2880"/>
  <c r="J2879" s="1"/>
  <c r="I2880"/>
  <c r="I2879" s="1"/>
  <c r="H2880"/>
  <c r="H2879" s="1"/>
  <c r="K2877"/>
  <c r="J2877"/>
  <c r="I2877"/>
  <c r="H2877"/>
  <c r="K2875"/>
  <c r="J2875"/>
  <c r="I2875"/>
  <c r="H2875"/>
  <c r="K2873"/>
  <c r="J2873"/>
  <c r="I2873"/>
  <c r="G2880"/>
  <c r="G2879" s="1"/>
  <c r="G2877"/>
  <c r="G2875"/>
  <c r="G2873"/>
  <c r="K2864"/>
  <c r="J2864"/>
  <c r="J2863" s="1"/>
  <c r="I2864"/>
  <c r="H2864"/>
  <c r="K2861"/>
  <c r="J2861"/>
  <c r="I2861"/>
  <c r="H2861"/>
  <c r="K2859"/>
  <c r="J2859"/>
  <c r="I2859"/>
  <c r="H2859"/>
  <c r="K2857"/>
  <c r="J2857"/>
  <c r="I2857"/>
  <c r="K2852"/>
  <c r="J2852"/>
  <c r="J2851" s="1"/>
  <c r="J2850" s="1"/>
  <c r="J2849" s="1"/>
  <c r="I2852"/>
  <c r="I2851" s="1"/>
  <c r="I2850" s="1"/>
  <c r="H2852"/>
  <c r="H2851" s="1"/>
  <c r="H2850" s="1"/>
  <c r="H2849" s="1"/>
  <c r="K2847"/>
  <c r="J2847"/>
  <c r="J2846" s="1"/>
  <c r="J2845" s="1"/>
  <c r="J2844" s="1"/>
  <c r="I2847"/>
  <c r="I2846" s="1"/>
  <c r="I2845" s="1"/>
  <c r="I2844" s="1"/>
  <c r="H2847"/>
  <c r="H2841"/>
  <c r="K2837"/>
  <c r="J2837"/>
  <c r="J2836" s="1"/>
  <c r="J2835" s="1"/>
  <c r="J2834" s="1"/>
  <c r="I2837"/>
  <c r="I2836" s="1"/>
  <c r="I2835" s="1"/>
  <c r="I2834" s="1"/>
  <c r="H2837"/>
  <c r="H2836" s="1"/>
  <c r="K2832"/>
  <c r="J2832"/>
  <c r="J2831" s="1"/>
  <c r="J2830" s="1"/>
  <c r="I2832"/>
  <c r="I2831" s="1"/>
  <c r="I2830" s="1"/>
  <c r="H2832"/>
  <c r="H2831" s="1"/>
  <c r="H2830" s="1"/>
  <c r="G2864"/>
  <c r="G2863" s="1"/>
  <c r="G2861"/>
  <c r="G2859"/>
  <c r="G2857"/>
  <c r="G2852"/>
  <c r="G2851" s="1"/>
  <c r="G2850" s="1"/>
  <c r="G2849" s="1"/>
  <c r="G2847"/>
  <c r="G2846" s="1"/>
  <c r="G2845" s="1"/>
  <c r="G2844" s="1"/>
  <c r="G2841"/>
  <c r="G2840" s="1"/>
  <c r="G2839" s="1"/>
  <c r="G2837"/>
  <c r="G2836" s="1"/>
  <c r="G2835" s="1"/>
  <c r="G2834" s="1"/>
  <c r="G2832"/>
  <c r="G2831" s="1"/>
  <c r="G2830" s="1"/>
  <c r="K2824"/>
  <c r="J2824"/>
  <c r="I2824"/>
  <c r="H2824"/>
  <c r="K2822"/>
  <c r="J2822"/>
  <c r="I2822"/>
  <c r="H2822"/>
  <c r="K2820"/>
  <c r="J2820"/>
  <c r="I2820"/>
  <c r="G2824"/>
  <c r="G2822"/>
  <c r="G2820"/>
  <c r="K2811"/>
  <c r="J2811"/>
  <c r="I2811"/>
  <c r="H2811"/>
  <c r="K2807"/>
  <c r="J2807"/>
  <c r="I2807"/>
  <c r="K2805"/>
  <c r="J2805"/>
  <c r="I2805"/>
  <c r="G2811"/>
  <c r="G2807"/>
  <c r="G2805"/>
  <c r="K2796"/>
  <c r="J2796"/>
  <c r="J2795" s="1"/>
  <c r="J2794" s="1"/>
  <c r="J2793" s="1"/>
  <c r="J2792" s="1"/>
  <c r="I2796"/>
  <c r="I2795" s="1"/>
  <c r="I2794" s="1"/>
  <c r="I2793" s="1"/>
  <c r="I2792" s="1"/>
  <c r="H2796"/>
  <c r="H2795" s="1"/>
  <c r="H2794" s="1"/>
  <c r="H2793" s="1"/>
  <c r="H2792" s="1"/>
  <c r="G2796"/>
  <c r="G2795" s="1"/>
  <c r="G2794" s="1"/>
  <c r="G2793" s="1"/>
  <c r="G2792" s="1"/>
  <c r="K2789"/>
  <c r="J2789"/>
  <c r="J2788" s="1"/>
  <c r="I2789"/>
  <c r="H2789"/>
  <c r="H2788" s="1"/>
  <c r="K2786"/>
  <c r="J2786"/>
  <c r="J2785" s="1"/>
  <c r="I2786"/>
  <c r="I2785" s="1"/>
  <c r="H2786"/>
  <c r="H2785" s="1"/>
  <c r="K2778"/>
  <c r="L2778" s="1"/>
  <c r="J2778"/>
  <c r="J2777" s="1"/>
  <c r="I2778"/>
  <c r="I2777" s="1"/>
  <c r="H2778"/>
  <c r="H2777" s="1"/>
  <c r="K2775"/>
  <c r="J2775"/>
  <c r="J2774" s="1"/>
  <c r="I2775"/>
  <c r="I2774" s="1"/>
  <c r="H2775"/>
  <c r="G2789"/>
  <c r="G2788" s="1"/>
  <c r="G2786"/>
  <c r="G2785" s="1"/>
  <c r="G2778"/>
  <c r="G2777" s="1"/>
  <c r="G2775"/>
  <c r="G2774" s="1"/>
  <c r="K2766"/>
  <c r="J2766"/>
  <c r="I2766"/>
  <c r="H2766"/>
  <c r="K2764"/>
  <c r="J2764"/>
  <c r="I2764"/>
  <c r="H2764"/>
  <c r="G2766"/>
  <c r="G2764"/>
  <c r="K2759"/>
  <c r="J2759"/>
  <c r="J2758" s="1"/>
  <c r="J2757" s="1"/>
  <c r="J2756" s="1"/>
  <c r="I2759"/>
  <c r="I2758" s="1"/>
  <c r="I2757" s="1"/>
  <c r="I2756" s="1"/>
  <c r="H2759"/>
  <c r="H2758" s="1"/>
  <c r="H2757" s="1"/>
  <c r="H2756" s="1"/>
  <c r="G2759"/>
  <c r="G2758" s="1"/>
  <c r="G2757" s="1"/>
  <c r="G2756" s="1"/>
  <c r="K2754"/>
  <c r="J2754"/>
  <c r="J2753" s="1"/>
  <c r="J2752" s="1"/>
  <c r="J2751" s="1"/>
  <c r="I2754"/>
  <c r="I2753" s="1"/>
  <c r="I2752" s="1"/>
  <c r="I2751" s="1"/>
  <c r="H2754"/>
  <c r="H2753" s="1"/>
  <c r="H2752" s="1"/>
  <c r="G2754"/>
  <c r="G2753" s="1"/>
  <c r="G2752" s="1"/>
  <c r="G2751" s="1"/>
  <c r="K2749"/>
  <c r="J2749"/>
  <c r="J2748" s="1"/>
  <c r="J2747" s="1"/>
  <c r="J2746" s="1"/>
  <c r="I2749"/>
  <c r="I2748" s="1"/>
  <c r="I2747" s="1"/>
  <c r="I2746" s="1"/>
  <c r="H2749"/>
  <c r="H2748" s="1"/>
  <c r="H2747" s="1"/>
  <c r="H2746" s="1"/>
  <c r="G2749"/>
  <c r="G2748" s="1"/>
  <c r="G2747" s="1"/>
  <c r="G2746" s="1"/>
  <c r="K2742"/>
  <c r="J2742"/>
  <c r="I2742"/>
  <c r="H2742"/>
  <c r="K2740"/>
  <c r="J2740"/>
  <c r="I2740"/>
  <c r="H2740"/>
  <c r="K2737"/>
  <c r="J2737"/>
  <c r="J2736" s="1"/>
  <c r="I2737"/>
  <c r="I2736" s="1"/>
  <c r="H2737"/>
  <c r="H2736" s="1"/>
  <c r="K2734"/>
  <c r="J2734"/>
  <c r="I2734"/>
  <c r="H2734"/>
  <c r="K2732"/>
  <c r="J2732"/>
  <c r="I2732"/>
  <c r="G2742"/>
  <c r="G2740"/>
  <c r="G2737"/>
  <c r="G2736" s="1"/>
  <c r="G2734"/>
  <c r="G2732"/>
  <c r="K2724"/>
  <c r="J2724"/>
  <c r="J2723" s="1"/>
  <c r="I2724"/>
  <c r="H2724"/>
  <c r="K2718"/>
  <c r="J2718"/>
  <c r="I2718"/>
  <c r="H2718"/>
  <c r="K2716"/>
  <c r="J2716"/>
  <c r="I2716"/>
  <c r="K2712"/>
  <c r="J2712"/>
  <c r="J2711" s="1"/>
  <c r="J2710" s="1"/>
  <c r="I2712"/>
  <c r="I2711" s="1"/>
  <c r="I2710" s="1"/>
  <c r="H2712"/>
  <c r="H2711" s="1"/>
  <c r="H2710" s="1"/>
  <c r="K2708"/>
  <c r="J2708"/>
  <c r="J2707" s="1"/>
  <c r="J2706" s="1"/>
  <c r="I2708"/>
  <c r="H2708"/>
  <c r="H2707" s="1"/>
  <c r="G2724"/>
  <c r="G2723" s="1"/>
  <c r="G2720"/>
  <c r="G2718"/>
  <c r="G2716"/>
  <c r="G2712"/>
  <c r="G2711" s="1"/>
  <c r="G2710" s="1"/>
  <c r="G2708"/>
  <c r="G2707" s="1"/>
  <c r="G2706" s="1"/>
  <c r="K2699"/>
  <c r="J2699"/>
  <c r="I2699"/>
  <c r="K2697"/>
  <c r="J2697"/>
  <c r="I2697"/>
  <c r="H2697"/>
  <c r="K2695"/>
  <c r="J2695"/>
  <c r="I2695"/>
  <c r="G2699"/>
  <c r="G2697"/>
  <c r="G2695"/>
  <c r="K2686"/>
  <c r="J2686"/>
  <c r="I2686"/>
  <c r="H2686"/>
  <c r="K2684"/>
  <c r="J2684"/>
  <c r="I2684"/>
  <c r="H2684"/>
  <c r="K2682"/>
  <c r="J2682"/>
  <c r="I2682"/>
  <c r="K2678"/>
  <c r="J2678"/>
  <c r="J2677" s="1"/>
  <c r="J2676" s="1"/>
  <c r="I2678"/>
  <c r="H2678"/>
  <c r="K2674"/>
  <c r="J2674"/>
  <c r="J2673" s="1"/>
  <c r="J2672" s="1"/>
  <c r="I2674"/>
  <c r="H2674"/>
  <c r="K2670"/>
  <c r="J2670"/>
  <c r="J2669" s="1"/>
  <c r="J2668" s="1"/>
  <c r="I2670"/>
  <c r="I2669" s="1"/>
  <c r="I2668" s="1"/>
  <c r="G2686"/>
  <c r="G2684"/>
  <c r="G2682"/>
  <c r="G2678"/>
  <c r="G2677" s="1"/>
  <c r="G2676" s="1"/>
  <c r="G2674"/>
  <c r="G2673" s="1"/>
  <c r="G2672" s="1"/>
  <c r="G2670"/>
  <c r="G2669" s="1"/>
  <c r="G2668" s="1"/>
  <c r="K2658"/>
  <c r="J2658"/>
  <c r="I2658"/>
  <c r="H2658"/>
  <c r="K2656"/>
  <c r="J2656"/>
  <c r="I2656"/>
  <c r="G2660"/>
  <c r="G2658"/>
  <c r="G2656"/>
  <c r="H2720"/>
  <c r="H877"/>
  <c r="E752" i="2" s="1"/>
  <c r="E751" s="1"/>
  <c r="E1539"/>
  <c r="E1538" s="1"/>
  <c r="I1540"/>
  <c r="K2646" i="1"/>
  <c r="J2646"/>
  <c r="I2646"/>
  <c r="H2646"/>
  <c r="K2644"/>
  <c r="J2644"/>
  <c r="I2644"/>
  <c r="H2644"/>
  <c r="K2642"/>
  <c r="J2642"/>
  <c r="I2642"/>
  <c r="G2646"/>
  <c r="G2644"/>
  <c r="G2642"/>
  <c r="K2634"/>
  <c r="J2634"/>
  <c r="J2633" s="1"/>
  <c r="J2632" s="1"/>
  <c r="J2631" s="1"/>
  <c r="J2630" s="1"/>
  <c r="I2634"/>
  <c r="I2633" s="1"/>
  <c r="I2632" s="1"/>
  <c r="I2631" s="1"/>
  <c r="I2630" s="1"/>
  <c r="H2634"/>
  <c r="H2633" s="1"/>
  <c r="H2632" s="1"/>
  <c r="H2631" s="1"/>
  <c r="H2630" s="1"/>
  <c r="K2628"/>
  <c r="J2628"/>
  <c r="J2627" s="1"/>
  <c r="I2628"/>
  <c r="I2627" s="1"/>
  <c r="H2628"/>
  <c r="H2627" s="1"/>
  <c r="G2634"/>
  <c r="G2633" s="1"/>
  <c r="G2632" s="1"/>
  <c r="G2631" s="1"/>
  <c r="G2630" s="1"/>
  <c r="G2628"/>
  <c r="G2627" s="1"/>
  <c r="G2623" s="1"/>
  <c r="G2622" s="1"/>
  <c r="G2621" s="1"/>
  <c r="K2612"/>
  <c r="J2612"/>
  <c r="J2611" s="1"/>
  <c r="I2612"/>
  <c r="H2612"/>
  <c r="H2611" s="1"/>
  <c r="K2609"/>
  <c r="J2609"/>
  <c r="J2608" s="1"/>
  <c r="I2609"/>
  <c r="I2608" s="1"/>
  <c r="H2609"/>
  <c r="H2608" s="1"/>
  <c r="K2606"/>
  <c r="J2606"/>
  <c r="J2605" s="1"/>
  <c r="I2606"/>
  <c r="I2605" s="1"/>
  <c r="H2606"/>
  <c r="H2605" s="1"/>
  <c r="K2602"/>
  <c r="J2602"/>
  <c r="J2601" s="1"/>
  <c r="I2602"/>
  <c r="I2601" s="1"/>
  <c r="H2602"/>
  <c r="K2599"/>
  <c r="J2599"/>
  <c r="I2599"/>
  <c r="H2599"/>
  <c r="K2597"/>
  <c r="J2597"/>
  <c r="I2597"/>
  <c r="H2597"/>
  <c r="K2594"/>
  <c r="J2594"/>
  <c r="J2593" s="1"/>
  <c r="I2594"/>
  <c r="H2594"/>
  <c r="H2593" s="1"/>
  <c r="G2612"/>
  <c r="G2611" s="1"/>
  <c r="G2609"/>
  <c r="G2608" s="1"/>
  <c r="G2606"/>
  <c r="G2605" s="1"/>
  <c r="G2602"/>
  <c r="G2601" s="1"/>
  <c r="G2599"/>
  <c r="G2597"/>
  <c r="G2594"/>
  <c r="G2593" s="1"/>
  <c r="K2589"/>
  <c r="J2589"/>
  <c r="I2589"/>
  <c r="H2589"/>
  <c r="K2587"/>
  <c r="J2587"/>
  <c r="I2587"/>
  <c r="H2587"/>
  <c r="G2589"/>
  <c r="G2587"/>
  <c r="K2579"/>
  <c r="J2579"/>
  <c r="J2578" s="1"/>
  <c r="I2579"/>
  <c r="I2578" s="1"/>
  <c r="H2579"/>
  <c r="H2578" s="1"/>
  <c r="K2557"/>
  <c r="J2557"/>
  <c r="I2557"/>
  <c r="H2557"/>
  <c r="K2555"/>
  <c r="J2555"/>
  <c r="I2555"/>
  <c r="K2552"/>
  <c r="J2552"/>
  <c r="I2552"/>
  <c r="K2550"/>
  <c r="J2550"/>
  <c r="I2550"/>
  <c r="H2550"/>
  <c r="K2548"/>
  <c r="J2548"/>
  <c r="I2548"/>
  <c r="K2544"/>
  <c r="J2544"/>
  <c r="J2543" s="1"/>
  <c r="I2544"/>
  <c r="I2543" s="1"/>
  <c r="H2544"/>
  <c r="H2543" s="1"/>
  <c r="K2541"/>
  <c r="J2541"/>
  <c r="J2540" s="1"/>
  <c r="I2541"/>
  <c r="I2540" s="1"/>
  <c r="H2541"/>
  <c r="H2540" s="1"/>
  <c r="K2537"/>
  <c r="J2537"/>
  <c r="I2537"/>
  <c r="H2537"/>
  <c r="K2535"/>
  <c r="J2535"/>
  <c r="I2535"/>
  <c r="H2535"/>
  <c r="K2532"/>
  <c r="J2532"/>
  <c r="J2531" s="1"/>
  <c r="I2532"/>
  <c r="I2531" s="1"/>
  <c r="H2532"/>
  <c r="H2531" s="1"/>
  <c r="K2528"/>
  <c r="J2528"/>
  <c r="I2528"/>
  <c r="H2528"/>
  <c r="K2526"/>
  <c r="J2526"/>
  <c r="I2526"/>
  <c r="K2518"/>
  <c r="J2518"/>
  <c r="J2517" s="1"/>
  <c r="I2518"/>
  <c r="I2517" s="1"/>
  <c r="H2518"/>
  <c r="K2515"/>
  <c r="J2515"/>
  <c r="J2514" s="1"/>
  <c r="I2515"/>
  <c r="I2514" s="1"/>
  <c r="H2515"/>
  <c r="H2514" s="1"/>
  <c r="K2511"/>
  <c r="J2511"/>
  <c r="J2510" s="1"/>
  <c r="J2509" s="1"/>
  <c r="I2511"/>
  <c r="H2511"/>
  <c r="H2510" s="1"/>
  <c r="K2507"/>
  <c r="J2507"/>
  <c r="J2506" s="1"/>
  <c r="J2505" s="1"/>
  <c r="I2507"/>
  <c r="I2506" s="1"/>
  <c r="I2505" s="1"/>
  <c r="H2507"/>
  <c r="K2503"/>
  <c r="J2503"/>
  <c r="J2502" s="1"/>
  <c r="I2503"/>
  <c r="I2502" s="1"/>
  <c r="H2503"/>
  <c r="H2502" s="1"/>
  <c r="K2500"/>
  <c r="J2500"/>
  <c r="J2499" s="1"/>
  <c r="I2500"/>
  <c r="I2499" s="1"/>
  <c r="H2500"/>
  <c r="H2499" s="1"/>
  <c r="K2497"/>
  <c r="J2497"/>
  <c r="I2497"/>
  <c r="H2497"/>
  <c r="K2495"/>
  <c r="J2495"/>
  <c r="I2495"/>
  <c r="H2495"/>
  <c r="G2559"/>
  <c r="G2557"/>
  <c r="G2555"/>
  <c r="G2552"/>
  <c r="G2550"/>
  <c r="G2548"/>
  <c r="G2544"/>
  <c r="G2543" s="1"/>
  <c r="G2541"/>
  <c r="G2540" s="1"/>
  <c r="G2537"/>
  <c r="G2535"/>
  <c r="G2532"/>
  <c r="G2531" s="1"/>
  <c r="G2528"/>
  <c r="G2526"/>
  <c r="G2518"/>
  <c r="G2517" s="1"/>
  <c r="G2515"/>
  <c r="G2514" s="1"/>
  <c r="G2511"/>
  <c r="G2510" s="1"/>
  <c r="G2509" s="1"/>
  <c r="G2507"/>
  <c r="G2506" s="1"/>
  <c r="G2505" s="1"/>
  <c r="G2503"/>
  <c r="G2502" s="1"/>
  <c r="G2500"/>
  <c r="G2499" s="1"/>
  <c r="G2497"/>
  <c r="G2495"/>
  <c r="K2490"/>
  <c r="J2490"/>
  <c r="J2489" s="1"/>
  <c r="J2488" s="1"/>
  <c r="J2487" s="1"/>
  <c r="I2490"/>
  <c r="I2489" s="1"/>
  <c r="I2488" s="1"/>
  <c r="I2487" s="1"/>
  <c r="H2490"/>
  <c r="H2489" s="1"/>
  <c r="H2488" s="1"/>
  <c r="H2487" s="1"/>
  <c r="G2490"/>
  <c r="G2489" s="1"/>
  <c r="G2488" s="1"/>
  <c r="G2487" s="1"/>
  <c r="K2485"/>
  <c r="J2485"/>
  <c r="J2484" s="1"/>
  <c r="J2483" s="1"/>
  <c r="J2482" s="1"/>
  <c r="I2485"/>
  <c r="H2485"/>
  <c r="G2485"/>
  <c r="G2484" s="1"/>
  <c r="G2483" s="1"/>
  <c r="G2482" s="1"/>
  <c r="K2479"/>
  <c r="J2479"/>
  <c r="J2478" s="1"/>
  <c r="J2477" s="1"/>
  <c r="J2476" s="1"/>
  <c r="I2479"/>
  <c r="I2478" s="1"/>
  <c r="I2477" s="1"/>
  <c r="I2476" s="1"/>
  <c r="H2479"/>
  <c r="H2478" s="1"/>
  <c r="H2477" s="1"/>
  <c r="H2476" s="1"/>
  <c r="K2472"/>
  <c r="J2472"/>
  <c r="I2472"/>
  <c r="H2472"/>
  <c r="K2469"/>
  <c r="J2469"/>
  <c r="I2469"/>
  <c r="H2469"/>
  <c r="K2465"/>
  <c r="J2465"/>
  <c r="I2465"/>
  <c r="H2465"/>
  <c r="K2463"/>
  <c r="J2463"/>
  <c r="I2463"/>
  <c r="K2443"/>
  <c r="J2443"/>
  <c r="J2442" s="1"/>
  <c r="J2441" s="1"/>
  <c r="J2440" s="1"/>
  <c r="J2439" s="1"/>
  <c r="I2443"/>
  <c r="I2442" s="1"/>
  <c r="I2441" s="1"/>
  <c r="I2440" s="1"/>
  <c r="I2439" s="1"/>
  <c r="H2443"/>
  <c r="H2442" s="1"/>
  <c r="H2441" s="1"/>
  <c r="H2440" s="1"/>
  <c r="H2439" s="1"/>
  <c r="G2479"/>
  <c r="G2478" s="1"/>
  <c r="G2477" s="1"/>
  <c r="G2476" s="1"/>
  <c r="G2472"/>
  <c r="G2469"/>
  <c r="G2465"/>
  <c r="G2463"/>
  <c r="G2443"/>
  <c r="G2442" s="1"/>
  <c r="G2441" s="1"/>
  <c r="G2440" s="1"/>
  <c r="G2439" s="1"/>
  <c r="K2434"/>
  <c r="J2434"/>
  <c r="H2434"/>
  <c r="K2432"/>
  <c r="J2432"/>
  <c r="I2432"/>
  <c r="H2432"/>
  <c r="K2430"/>
  <c r="J2430"/>
  <c r="I2430"/>
  <c r="G2434"/>
  <c r="G2432"/>
  <c r="G2430"/>
  <c r="K2413"/>
  <c r="J2413"/>
  <c r="J2412" s="1"/>
  <c r="J2407"/>
  <c r="J2406" s="1"/>
  <c r="J2410"/>
  <c r="J2409" s="1"/>
  <c r="I2413"/>
  <c r="H2413"/>
  <c r="H2412" s="1"/>
  <c r="K2410"/>
  <c r="I2410"/>
  <c r="I2409" s="1"/>
  <c r="H2410"/>
  <c r="H2409" s="1"/>
  <c r="K2407"/>
  <c r="I2407"/>
  <c r="I2406" s="1"/>
  <c r="H2407"/>
  <c r="H2406" s="1"/>
  <c r="G2413"/>
  <c r="G2412" s="1"/>
  <c r="G2410"/>
  <c r="G2409" s="1"/>
  <c r="G2407"/>
  <c r="G2406" s="1"/>
  <c r="K2386"/>
  <c r="J2386"/>
  <c r="J2385" s="1"/>
  <c r="I2386"/>
  <c r="H2386"/>
  <c r="H2385" s="1"/>
  <c r="K2378"/>
  <c r="L2378" s="1"/>
  <c r="J2378"/>
  <c r="I2378"/>
  <c r="H2378"/>
  <c r="K2372"/>
  <c r="J2372"/>
  <c r="J2371" s="1"/>
  <c r="I2372"/>
  <c r="I2371" s="1"/>
  <c r="H2372"/>
  <c r="H2371" s="1"/>
  <c r="K2359"/>
  <c r="K2358" s="1"/>
  <c r="J2359"/>
  <c r="J2358" s="1"/>
  <c r="I2359"/>
  <c r="I2358" s="1"/>
  <c r="H2359"/>
  <c r="H2358" s="1"/>
  <c r="K2350"/>
  <c r="J2350"/>
  <c r="J2349" s="1"/>
  <c r="J2348" s="1"/>
  <c r="I2350"/>
  <c r="I2349" s="1"/>
  <c r="I2348" s="1"/>
  <c r="H2350"/>
  <c r="H2349" s="1"/>
  <c r="H2348" s="1"/>
  <c r="K2335"/>
  <c r="J2335"/>
  <c r="I2335"/>
  <c r="H2335"/>
  <c r="K2333"/>
  <c r="J2333"/>
  <c r="I2333"/>
  <c r="H2333"/>
  <c r="K2331"/>
  <c r="J2331"/>
  <c r="I2331"/>
  <c r="G2386"/>
  <c r="G2385" s="1"/>
  <c r="G2380"/>
  <c r="G2378"/>
  <c r="G2372"/>
  <c r="G2371" s="1"/>
  <c r="G2359"/>
  <c r="G2358" s="1"/>
  <c r="G2352" s="1"/>
  <c r="G2350"/>
  <c r="G2349" s="1"/>
  <c r="G2348" s="1"/>
  <c r="G2335"/>
  <c r="G2333"/>
  <c r="G2331"/>
  <c r="K2322"/>
  <c r="J2322"/>
  <c r="J2321" s="1"/>
  <c r="J2320" s="1"/>
  <c r="J2319" s="1"/>
  <c r="J2318" s="1"/>
  <c r="J2317" s="1"/>
  <c r="I2322"/>
  <c r="I2321" s="1"/>
  <c r="I2320" s="1"/>
  <c r="I2319" s="1"/>
  <c r="I2318" s="1"/>
  <c r="I2317" s="1"/>
  <c r="H2322"/>
  <c r="H2321" s="1"/>
  <c r="H2320" s="1"/>
  <c r="H2319" s="1"/>
  <c r="H2318" s="1"/>
  <c r="H2317" s="1"/>
  <c r="K2308"/>
  <c r="J2308"/>
  <c r="J2307" s="1"/>
  <c r="I2308"/>
  <c r="I2307" s="1"/>
  <c r="H2308"/>
  <c r="H2307" s="1"/>
  <c r="K2302"/>
  <c r="J2302"/>
  <c r="I2302"/>
  <c r="K2300"/>
  <c r="J2300"/>
  <c r="I2300"/>
  <c r="H2300"/>
  <c r="K2298"/>
  <c r="J2298"/>
  <c r="I2298"/>
  <c r="K2288"/>
  <c r="J2288"/>
  <c r="J2287" s="1"/>
  <c r="J2286" s="1"/>
  <c r="I2288"/>
  <c r="H2288"/>
  <c r="H2287" s="1"/>
  <c r="H2286" s="1"/>
  <c r="K2278"/>
  <c r="J2278"/>
  <c r="I2278"/>
  <c r="H2278"/>
  <c r="K2276"/>
  <c r="J2276"/>
  <c r="I2276"/>
  <c r="K2272"/>
  <c r="J2272"/>
  <c r="I2272"/>
  <c r="H2272"/>
  <c r="K2265"/>
  <c r="J2265"/>
  <c r="I2265"/>
  <c r="K2263"/>
  <c r="J2263"/>
  <c r="I2263"/>
  <c r="K2259"/>
  <c r="J2259"/>
  <c r="I2259"/>
  <c r="H2259"/>
  <c r="K2257"/>
  <c r="J2257"/>
  <c r="I2257"/>
  <c r="G2322"/>
  <c r="G2321" s="1"/>
  <c r="G2320" s="1"/>
  <c r="G2319" s="1"/>
  <c r="G2318" s="1"/>
  <c r="G2317" s="1"/>
  <c r="G2308"/>
  <c r="G2307" s="1"/>
  <c r="G2304"/>
  <c r="G2302"/>
  <c r="G2300"/>
  <c r="G2298"/>
  <c r="G2288"/>
  <c r="G2287" s="1"/>
  <c r="G2286" s="1"/>
  <c r="G2280"/>
  <c r="G2278"/>
  <c r="G2276"/>
  <c r="G2272"/>
  <c r="G2267" s="1"/>
  <c r="G2265"/>
  <c r="G2263"/>
  <c r="G2259"/>
  <c r="G2257"/>
  <c r="K2248"/>
  <c r="J2248"/>
  <c r="J2247" s="1"/>
  <c r="I2248"/>
  <c r="I2247" s="1"/>
  <c r="H2248"/>
  <c r="H2247" s="1"/>
  <c r="K2244"/>
  <c r="J2244"/>
  <c r="I2244"/>
  <c r="H2244"/>
  <c r="K2242"/>
  <c r="J2242"/>
  <c r="I2242"/>
  <c r="H2242"/>
  <c r="K2240"/>
  <c r="J2240"/>
  <c r="I2240"/>
  <c r="G2248"/>
  <c r="G2247" s="1"/>
  <c r="G2244"/>
  <c r="G2242"/>
  <c r="G2240"/>
  <c r="K2209"/>
  <c r="K2208" s="1"/>
  <c r="J2209"/>
  <c r="J2208" s="1"/>
  <c r="I2209"/>
  <c r="I2208" s="1"/>
  <c r="H2209"/>
  <c r="H2208" s="1"/>
  <c r="K2201"/>
  <c r="J2201"/>
  <c r="J2200" s="1"/>
  <c r="I2201"/>
  <c r="I2200" s="1"/>
  <c r="H2201"/>
  <c r="H2200" s="1"/>
  <c r="K2189"/>
  <c r="J2189"/>
  <c r="J2188" s="1"/>
  <c r="J2187" s="1"/>
  <c r="I2189"/>
  <c r="I2188" s="1"/>
  <c r="H2189"/>
  <c r="G2204"/>
  <c r="G2203" s="1"/>
  <c r="K2216"/>
  <c r="J2216"/>
  <c r="J2215" s="1"/>
  <c r="J2214" s="1"/>
  <c r="I2216"/>
  <c r="I2215" s="1"/>
  <c r="I2214" s="1"/>
  <c r="H2216"/>
  <c r="H2215" s="1"/>
  <c r="H2214" s="1"/>
  <c r="K2228"/>
  <c r="J2228"/>
  <c r="J2227" s="1"/>
  <c r="I2228"/>
  <c r="I2227" s="1"/>
  <c r="H2228"/>
  <c r="H2227" s="1"/>
  <c r="K2221"/>
  <c r="J2221"/>
  <c r="J2220" s="1"/>
  <c r="J2219" s="1"/>
  <c r="I2221"/>
  <c r="I2220" s="1"/>
  <c r="I2219" s="1"/>
  <c r="H2221"/>
  <c r="H2220" s="1"/>
  <c r="H2219" s="1"/>
  <c r="G2216"/>
  <c r="G2215" s="1"/>
  <c r="G2214" s="1"/>
  <c r="G2209"/>
  <c r="G2208" s="1"/>
  <c r="G2207" s="1"/>
  <c r="G2201"/>
  <c r="G2200" s="1"/>
  <c r="G2197"/>
  <c r="G2196" s="1"/>
  <c r="G2193"/>
  <c r="G2192" s="1"/>
  <c r="G2189"/>
  <c r="G2188" s="1"/>
  <c r="G2187" s="1"/>
  <c r="G2228"/>
  <c r="G2227" s="1"/>
  <c r="G2223" s="1"/>
  <c r="G2221"/>
  <c r="G2220" s="1"/>
  <c r="G2219" s="1"/>
  <c r="K2183"/>
  <c r="J2183"/>
  <c r="I2183"/>
  <c r="H2183"/>
  <c r="K2181"/>
  <c r="J2181"/>
  <c r="I2181"/>
  <c r="H2181"/>
  <c r="K2178"/>
  <c r="J2178"/>
  <c r="I2178"/>
  <c r="H2178"/>
  <c r="K2176"/>
  <c r="J2176"/>
  <c r="I2176"/>
  <c r="H2176"/>
  <c r="K2173"/>
  <c r="J2173"/>
  <c r="I2173"/>
  <c r="H2173"/>
  <c r="K2171"/>
  <c r="J2171"/>
  <c r="I2171"/>
  <c r="H2171"/>
  <c r="K2168"/>
  <c r="J2168"/>
  <c r="I2168"/>
  <c r="H2168"/>
  <c r="K2166"/>
  <c r="J2166"/>
  <c r="I2166"/>
  <c r="H2166"/>
  <c r="K2163"/>
  <c r="J2163"/>
  <c r="I2163"/>
  <c r="H2163"/>
  <c r="K2161"/>
  <c r="J2161"/>
  <c r="I2161"/>
  <c r="H2161"/>
  <c r="K2158"/>
  <c r="J2158"/>
  <c r="I2158"/>
  <c r="H2158"/>
  <c r="K2156"/>
  <c r="J2156"/>
  <c r="I2156"/>
  <c r="H2156"/>
  <c r="K2153"/>
  <c r="J2153"/>
  <c r="J2152" s="1"/>
  <c r="I2153"/>
  <c r="I2152" s="1"/>
  <c r="H2153"/>
  <c r="K2149"/>
  <c r="J2149"/>
  <c r="J2148" s="1"/>
  <c r="I2149"/>
  <c r="I2148" s="1"/>
  <c r="H2149"/>
  <c r="H2148" s="1"/>
  <c r="K2146"/>
  <c r="J2146"/>
  <c r="J2145" s="1"/>
  <c r="I2146"/>
  <c r="I2145" s="1"/>
  <c r="H2146"/>
  <c r="H2145" s="1"/>
  <c r="G2183"/>
  <c r="G2181"/>
  <c r="G2178"/>
  <c r="G2176"/>
  <c r="G2173"/>
  <c r="G2171"/>
  <c r="G2168"/>
  <c r="G2166"/>
  <c r="G2163"/>
  <c r="G2161"/>
  <c r="G2158"/>
  <c r="G2156"/>
  <c r="G2153"/>
  <c r="G2152" s="1"/>
  <c r="G2146"/>
  <c r="G2145" s="1"/>
  <c r="G2149"/>
  <c r="G2148" s="1"/>
  <c r="K2133"/>
  <c r="J2133"/>
  <c r="I2133"/>
  <c r="H2133"/>
  <c r="K2131"/>
  <c r="J2131"/>
  <c r="I2131"/>
  <c r="H2131"/>
  <c r="K2126"/>
  <c r="J2126"/>
  <c r="J2125" s="1"/>
  <c r="J2124" s="1"/>
  <c r="J2123" s="1"/>
  <c r="I2126"/>
  <c r="I2125" s="1"/>
  <c r="I2124" s="1"/>
  <c r="I2123" s="1"/>
  <c r="H2126"/>
  <c r="H2125" s="1"/>
  <c r="H2124" s="1"/>
  <c r="K2121"/>
  <c r="J2121"/>
  <c r="I2121"/>
  <c r="H2121"/>
  <c r="K2119"/>
  <c r="J2119"/>
  <c r="J2118" s="1"/>
  <c r="J2117" s="1"/>
  <c r="I2119"/>
  <c r="I2118" s="1"/>
  <c r="I2117" s="1"/>
  <c r="H2119"/>
  <c r="H2118" s="1"/>
  <c r="K2115"/>
  <c r="J2115"/>
  <c r="G610" i="2" s="1"/>
  <c r="G609" s="1"/>
  <c r="G608" s="1"/>
  <c r="I2115" i="1"/>
  <c r="H2115"/>
  <c r="E610" i="2" s="1"/>
  <c r="E609" s="1"/>
  <c r="E608" s="1"/>
  <c r="K2112" i="1"/>
  <c r="J2112"/>
  <c r="J2111" s="1"/>
  <c r="I2112"/>
  <c r="I2111" s="1"/>
  <c r="H2112"/>
  <c r="K2109"/>
  <c r="J2109"/>
  <c r="I2109"/>
  <c r="H2109"/>
  <c r="K2107"/>
  <c r="J2107"/>
  <c r="I2107"/>
  <c r="H2107"/>
  <c r="K2104"/>
  <c r="J2104"/>
  <c r="I2104"/>
  <c r="H2104"/>
  <c r="K2102"/>
  <c r="J2102"/>
  <c r="I2102"/>
  <c r="H2102"/>
  <c r="K2099"/>
  <c r="J2099"/>
  <c r="I2099"/>
  <c r="H2099"/>
  <c r="K2097"/>
  <c r="J2097"/>
  <c r="I2097"/>
  <c r="H2097"/>
  <c r="K2094"/>
  <c r="J2094"/>
  <c r="I2094"/>
  <c r="H2094"/>
  <c r="K2092"/>
  <c r="J2092"/>
  <c r="I2092"/>
  <c r="H2092"/>
  <c r="K2089"/>
  <c r="J2089"/>
  <c r="I2089"/>
  <c r="H2089"/>
  <c r="K2087"/>
  <c r="J2087"/>
  <c r="I2087"/>
  <c r="H2087"/>
  <c r="K2084"/>
  <c r="J2084"/>
  <c r="I2084"/>
  <c r="H2084"/>
  <c r="K2082"/>
  <c r="J2082"/>
  <c r="I2082"/>
  <c r="H2082"/>
  <c r="K2079"/>
  <c r="J2079"/>
  <c r="I2079"/>
  <c r="H2079"/>
  <c r="K2077"/>
  <c r="J2077"/>
  <c r="I2077"/>
  <c r="H2077"/>
  <c r="K2074"/>
  <c r="J2074"/>
  <c r="I2074"/>
  <c r="H2074"/>
  <c r="K2072"/>
  <c r="J2072"/>
  <c r="I2072"/>
  <c r="H2072"/>
  <c r="K2069"/>
  <c r="J2069"/>
  <c r="I2069"/>
  <c r="H2069"/>
  <c r="K2067"/>
  <c r="J2067"/>
  <c r="I2067"/>
  <c r="H2067"/>
  <c r="K2064"/>
  <c r="J2064"/>
  <c r="I2064"/>
  <c r="H2064"/>
  <c r="K2062"/>
  <c r="J2062"/>
  <c r="I2062"/>
  <c r="H2062"/>
  <c r="K2059"/>
  <c r="J2059"/>
  <c r="I2059"/>
  <c r="H2059"/>
  <c r="K2057"/>
  <c r="J2057"/>
  <c r="I2057"/>
  <c r="H2057"/>
  <c r="K2054"/>
  <c r="J2054"/>
  <c r="I2054"/>
  <c r="H2054"/>
  <c r="K2052"/>
  <c r="J2052"/>
  <c r="I2052"/>
  <c r="H2052"/>
  <c r="K2049"/>
  <c r="J2049"/>
  <c r="I2049"/>
  <c r="H2049"/>
  <c r="K2047"/>
  <c r="J2047"/>
  <c r="I2047"/>
  <c r="H2047"/>
  <c r="K2044"/>
  <c r="J2044"/>
  <c r="I2044"/>
  <c r="K2042"/>
  <c r="J2042"/>
  <c r="I2042"/>
  <c r="H2042"/>
  <c r="K2039"/>
  <c r="J2039"/>
  <c r="I2039"/>
  <c r="H2039"/>
  <c r="K2037"/>
  <c r="J2037"/>
  <c r="I2037"/>
  <c r="H2037"/>
  <c r="K2034"/>
  <c r="J2034"/>
  <c r="I2034"/>
  <c r="H2034"/>
  <c r="K2032"/>
  <c r="J2032"/>
  <c r="I2032"/>
  <c r="H2032"/>
  <c r="K2029"/>
  <c r="J2029"/>
  <c r="I2029"/>
  <c r="K2027"/>
  <c r="J2027"/>
  <c r="I2027"/>
  <c r="H2027"/>
  <c r="K2024"/>
  <c r="J2024"/>
  <c r="J2023" s="1"/>
  <c r="I2024"/>
  <c r="I2023" s="1"/>
  <c r="H2024"/>
  <c r="K2021"/>
  <c r="J2021"/>
  <c r="I2021"/>
  <c r="K2019"/>
  <c r="J2019"/>
  <c r="I2019"/>
  <c r="H2019"/>
  <c r="K2016"/>
  <c r="J2016"/>
  <c r="I2016"/>
  <c r="H2016"/>
  <c r="K2014"/>
  <c r="J2014"/>
  <c r="I2014"/>
  <c r="H2014"/>
  <c r="K2011"/>
  <c r="J2011"/>
  <c r="I2011"/>
  <c r="K2009"/>
  <c r="J2009"/>
  <c r="I2009"/>
  <c r="H2009"/>
  <c r="K2006"/>
  <c r="J2006"/>
  <c r="I2006"/>
  <c r="H2006"/>
  <c r="K2004"/>
  <c r="J2004"/>
  <c r="I2004"/>
  <c r="H2004"/>
  <c r="K2001"/>
  <c r="J2001"/>
  <c r="J2000" s="1"/>
  <c r="I2001"/>
  <c r="I2000" s="1"/>
  <c r="H2001"/>
  <c r="H2000" s="1"/>
  <c r="K1998"/>
  <c r="J1998"/>
  <c r="I1998"/>
  <c r="H1998"/>
  <c r="K1996"/>
  <c r="J1996"/>
  <c r="I1996"/>
  <c r="H1996"/>
  <c r="K1993"/>
  <c r="J1993"/>
  <c r="I1993"/>
  <c r="H1993"/>
  <c r="K1991"/>
  <c r="J1991"/>
  <c r="I1991"/>
  <c r="H1991"/>
  <c r="K1988"/>
  <c r="J1988"/>
  <c r="I1988"/>
  <c r="H1988"/>
  <c r="K1986"/>
  <c r="J1986"/>
  <c r="I1986"/>
  <c r="H1986"/>
  <c r="K1983"/>
  <c r="J1983"/>
  <c r="I1983"/>
  <c r="H1983"/>
  <c r="K1981"/>
  <c r="J1981"/>
  <c r="I1981"/>
  <c r="H1981"/>
  <c r="K1978"/>
  <c r="J1978"/>
  <c r="I1978"/>
  <c r="H1978"/>
  <c r="K1976"/>
  <c r="J1976"/>
  <c r="I1976"/>
  <c r="H1976"/>
  <c r="K1973"/>
  <c r="J1973"/>
  <c r="I1973"/>
  <c r="K1971"/>
  <c r="J1971"/>
  <c r="I1971"/>
  <c r="H1971"/>
  <c r="K1968"/>
  <c r="J1968"/>
  <c r="J1967" s="1"/>
  <c r="I1968"/>
  <c r="I1967" s="1"/>
  <c r="H1968"/>
  <c r="H1967" s="1"/>
  <c r="K1965"/>
  <c r="J1965"/>
  <c r="J1964" s="1"/>
  <c r="I1965"/>
  <c r="I1964" s="1"/>
  <c r="H1965"/>
  <c r="H1964" s="1"/>
  <c r="G2133"/>
  <c r="G2131"/>
  <c r="G2126"/>
  <c r="G2125" s="1"/>
  <c r="G2124" s="1"/>
  <c r="G2123" s="1"/>
  <c r="G2121"/>
  <c r="G2119"/>
  <c r="G2118" s="1"/>
  <c r="G2117" s="1"/>
  <c r="G2112"/>
  <c r="G2111" s="1"/>
  <c r="G2109"/>
  <c r="G2107"/>
  <c r="G2104"/>
  <c r="G2102"/>
  <c r="G2099"/>
  <c r="G2097"/>
  <c r="G2094"/>
  <c r="G2092"/>
  <c r="G2089"/>
  <c r="G2087"/>
  <c r="G2084"/>
  <c r="G2082"/>
  <c r="G2079"/>
  <c r="G2077"/>
  <c r="G2074"/>
  <c r="G2072"/>
  <c r="G2069"/>
  <c r="G2067"/>
  <c r="G2064"/>
  <c r="G2062"/>
  <c r="G2059"/>
  <c r="G2057"/>
  <c r="G2054"/>
  <c r="G2052"/>
  <c r="G2049"/>
  <c r="G2047"/>
  <c r="G2044"/>
  <c r="G2042"/>
  <c r="G2039"/>
  <c r="G2037"/>
  <c r="G2034"/>
  <c r="G2032"/>
  <c r="G2029"/>
  <c r="G2027"/>
  <c r="G2024"/>
  <c r="G2023" s="1"/>
  <c r="G2021"/>
  <c r="G2019"/>
  <c r="G2016"/>
  <c r="G2014"/>
  <c r="G2011"/>
  <c r="G2009"/>
  <c r="G2006"/>
  <c r="G2004"/>
  <c r="G2001"/>
  <c r="G2000" s="1"/>
  <c r="G1998"/>
  <c r="G1996"/>
  <c r="G1993"/>
  <c r="G1991"/>
  <c r="G1988"/>
  <c r="G1986"/>
  <c r="G1983"/>
  <c r="G1981"/>
  <c r="G1978"/>
  <c r="G1976"/>
  <c r="G1973"/>
  <c r="G1971"/>
  <c r="G1968"/>
  <c r="G1967" s="1"/>
  <c r="G1965"/>
  <c r="G1964" s="1"/>
  <c r="K1947"/>
  <c r="J1947"/>
  <c r="J1946" s="1"/>
  <c r="J1945" s="1"/>
  <c r="I1947"/>
  <c r="I1946" s="1"/>
  <c r="I1945" s="1"/>
  <c r="H1947"/>
  <c r="H1946" s="1"/>
  <c r="H1945" s="1"/>
  <c r="K1940"/>
  <c r="J1940"/>
  <c r="J1939" s="1"/>
  <c r="I1940"/>
  <c r="I1939" s="1"/>
  <c r="H1940"/>
  <c r="H1939" s="1"/>
  <c r="K1932"/>
  <c r="J1932"/>
  <c r="J1931" s="1"/>
  <c r="J1930" s="1"/>
  <c r="I1932"/>
  <c r="I1931" s="1"/>
  <c r="I1930" s="1"/>
  <c r="H1932"/>
  <c r="H1931" s="1"/>
  <c r="H1930" s="1"/>
  <c r="K1928"/>
  <c r="J1928"/>
  <c r="J1927" s="1"/>
  <c r="J1926" s="1"/>
  <c r="I1928"/>
  <c r="H1928"/>
  <c r="H1927" s="1"/>
  <c r="H1926" s="1"/>
  <c r="K1924"/>
  <c r="J1924"/>
  <c r="J1923" s="1"/>
  <c r="I1924"/>
  <c r="I1923" s="1"/>
  <c r="H1924"/>
  <c r="H1923" s="1"/>
  <c r="K1921"/>
  <c r="J1921"/>
  <c r="I1921"/>
  <c r="H1921"/>
  <c r="K1919"/>
  <c r="J1919"/>
  <c r="I1919"/>
  <c r="H1919"/>
  <c r="K1916"/>
  <c r="L1916" s="1"/>
  <c r="J1916"/>
  <c r="J1915" s="1"/>
  <c r="I1916"/>
  <c r="I1915" s="1"/>
  <c r="H1916"/>
  <c r="H1915" s="1"/>
  <c r="K1912"/>
  <c r="J1912"/>
  <c r="I1912"/>
  <c r="K1909"/>
  <c r="J1909"/>
  <c r="I1909"/>
  <c r="K1905"/>
  <c r="J1905"/>
  <c r="I1905"/>
  <c r="H1905"/>
  <c r="G1947"/>
  <c r="G1946" s="1"/>
  <c r="G1945" s="1"/>
  <c r="G1940"/>
  <c r="G1939" s="1"/>
  <c r="G1935" s="1"/>
  <c r="G1932"/>
  <c r="G1931" s="1"/>
  <c r="G1930" s="1"/>
  <c r="G1928"/>
  <c r="G1927" s="1"/>
  <c r="G1926" s="1"/>
  <c r="G1924"/>
  <c r="G1923" s="1"/>
  <c r="G1921"/>
  <c r="G1919"/>
  <c r="G1916"/>
  <c r="G1915" s="1"/>
  <c r="G1912"/>
  <c r="G1909"/>
  <c r="G1905"/>
  <c r="G1903"/>
  <c r="K1897"/>
  <c r="J1897"/>
  <c r="I1897"/>
  <c r="H1897"/>
  <c r="K1895"/>
  <c r="J1895"/>
  <c r="I1895"/>
  <c r="H1895"/>
  <c r="G1897"/>
  <c r="G1895"/>
  <c r="K1887"/>
  <c r="J1887"/>
  <c r="J1886" s="1"/>
  <c r="I1887"/>
  <c r="I1886" s="1"/>
  <c r="H1887"/>
  <c r="H1886" s="1"/>
  <c r="K1884"/>
  <c r="J1884"/>
  <c r="J1883" s="1"/>
  <c r="I1884"/>
  <c r="H1884"/>
  <c r="H1883" s="1"/>
  <c r="K1880"/>
  <c r="J1880"/>
  <c r="J1879" s="1"/>
  <c r="I1880"/>
  <c r="I1879" s="1"/>
  <c r="G1887"/>
  <c r="G1886" s="1"/>
  <c r="G1884"/>
  <c r="G1883" s="1"/>
  <c r="G1880"/>
  <c r="G1879" s="1"/>
  <c r="K1867"/>
  <c r="J1867"/>
  <c r="J1866" s="1"/>
  <c r="I1867"/>
  <c r="I1866" s="1"/>
  <c r="H1867"/>
  <c r="K1860"/>
  <c r="J1860"/>
  <c r="I1860"/>
  <c r="H1860"/>
  <c r="K1857"/>
  <c r="J1857"/>
  <c r="I1857"/>
  <c r="K1855"/>
  <c r="J1855"/>
  <c r="I1855"/>
  <c r="H1855"/>
  <c r="K1851"/>
  <c r="J1851"/>
  <c r="I1851"/>
  <c r="K1847"/>
  <c r="J1847"/>
  <c r="I1847"/>
  <c r="H1847"/>
  <c r="K1845"/>
  <c r="J1845"/>
  <c r="I1845"/>
  <c r="K1842"/>
  <c r="J1842"/>
  <c r="J1841" s="1"/>
  <c r="I1842"/>
  <c r="I1841" s="1"/>
  <c r="H1842"/>
  <c r="H1841" s="1"/>
  <c r="K1838"/>
  <c r="J1838"/>
  <c r="I1838"/>
  <c r="K1836"/>
  <c r="J1836"/>
  <c r="I1836"/>
  <c r="H1836"/>
  <c r="K1834"/>
  <c r="J1834"/>
  <c r="I1834"/>
  <c r="H1834"/>
  <c r="K1832"/>
  <c r="J1832"/>
  <c r="I1832"/>
  <c r="K1827"/>
  <c r="K1826" s="1"/>
  <c r="J1827"/>
  <c r="J1826" s="1"/>
  <c r="I1827"/>
  <c r="I1826" s="1"/>
  <c r="H1827"/>
  <c r="H1826" s="1"/>
  <c r="G1867"/>
  <c r="G1866" s="1"/>
  <c r="G1862" s="1"/>
  <c r="G1860"/>
  <c r="G1857"/>
  <c r="G1855"/>
  <c r="G1851"/>
  <c r="G1847"/>
  <c r="G1845"/>
  <c r="G1842"/>
  <c r="G1841" s="1"/>
  <c r="G1838"/>
  <c r="G1836"/>
  <c r="G1834"/>
  <c r="G1832"/>
  <c r="G1827"/>
  <c r="G1826" s="1"/>
  <c r="G1819" s="1"/>
  <c r="G1818" s="1"/>
  <c r="K1813"/>
  <c r="J1813"/>
  <c r="J1812" s="1"/>
  <c r="J1811" s="1"/>
  <c r="J1810" s="1"/>
  <c r="I1813"/>
  <c r="I1812" s="1"/>
  <c r="I1811" s="1"/>
  <c r="I1810" s="1"/>
  <c r="H1813"/>
  <c r="K1808"/>
  <c r="J1808"/>
  <c r="J1807" s="1"/>
  <c r="J1806" s="1"/>
  <c r="J1805" s="1"/>
  <c r="J1804" s="1"/>
  <c r="I1808"/>
  <c r="I1807" s="1"/>
  <c r="I1806" s="1"/>
  <c r="I1805" s="1"/>
  <c r="I1804" s="1"/>
  <c r="H1808"/>
  <c r="H1807" s="1"/>
  <c r="H1806" s="1"/>
  <c r="H1805" s="1"/>
  <c r="H1804" s="1"/>
  <c r="G1813"/>
  <c r="G1812" s="1"/>
  <c r="G1811" s="1"/>
  <c r="G1810" s="1"/>
  <c r="G1808"/>
  <c r="G1807" s="1"/>
  <c r="G1806" s="1"/>
  <c r="G1805" s="1"/>
  <c r="G1804" s="1"/>
  <c r="K1799"/>
  <c r="K1798" s="1"/>
  <c r="J1799"/>
  <c r="J1798" s="1"/>
  <c r="I1799"/>
  <c r="I1798" s="1"/>
  <c r="H1799"/>
  <c r="H1798" s="1"/>
  <c r="K1796"/>
  <c r="J1796"/>
  <c r="I1796"/>
  <c r="H1796"/>
  <c r="K1794"/>
  <c r="J1794"/>
  <c r="I1794"/>
  <c r="H1794"/>
  <c r="G1799"/>
  <c r="G1798" s="1"/>
  <c r="G1796"/>
  <c r="G1794"/>
  <c r="K1785"/>
  <c r="J1785"/>
  <c r="I1785"/>
  <c r="H1785"/>
  <c r="K1782"/>
  <c r="J1782"/>
  <c r="I1782"/>
  <c r="H1782"/>
  <c r="K1780"/>
  <c r="J1780"/>
  <c r="I1780"/>
  <c r="H1780"/>
  <c r="K1777"/>
  <c r="J1777"/>
  <c r="J1776" s="1"/>
  <c r="I1777"/>
  <c r="I1776" s="1"/>
  <c r="H1777"/>
  <c r="H1776" s="1"/>
  <c r="K1774"/>
  <c r="J1774"/>
  <c r="J1773" s="1"/>
  <c r="I1774"/>
  <c r="I1773" s="1"/>
  <c r="H1774"/>
  <c r="H1773" s="1"/>
  <c r="K1762"/>
  <c r="J1762"/>
  <c r="J1761" s="1"/>
  <c r="I1762"/>
  <c r="I1761" s="1"/>
  <c r="H1762"/>
  <c r="K1759"/>
  <c r="J1759"/>
  <c r="I1759"/>
  <c r="H1759"/>
  <c r="K1757"/>
  <c r="J1757"/>
  <c r="I1757"/>
  <c r="H1757"/>
  <c r="G1785"/>
  <c r="G1782"/>
  <c r="G1780"/>
  <c r="G1777"/>
  <c r="G1776" s="1"/>
  <c r="G1774"/>
  <c r="G1773" s="1"/>
  <c r="G1762"/>
  <c r="G1761" s="1"/>
  <c r="G1759"/>
  <c r="G1757"/>
  <c r="H1744"/>
  <c r="I1744"/>
  <c r="J1744"/>
  <c r="K1744"/>
  <c r="K1749"/>
  <c r="J1749"/>
  <c r="J1748" s="1"/>
  <c r="I1749"/>
  <c r="I1748" s="1"/>
  <c r="H1749"/>
  <c r="H1748" s="1"/>
  <c r="K1746"/>
  <c r="J1746"/>
  <c r="I1746"/>
  <c r="K1742"/>
  <c r="J1742"/>
  <c r="I1742"/>
  <c r="G1749"/>
  <c r="G1748" s="1"/>
  <c r="G1746"/>
  <c r="G1744"/>
  <c r="G1742"/>
  <c r="K1733"/>
  <c r="J1733"/>
  <c r="J1732" s="1"/>
  <c r="J1731" s="1"/>
  <c r="J1730" s="1"/>
  <c r="J1729" s="1"/>
  <c r="I1733"/>
  <c r="I1732" s="1"/>
  <c r="I1731" s="1"/>
  <c r="I1730" s="1"/>
  <c r="I1729" s="1"/>
  <c r="H1733"/>
  <c r="H1732" s="1"/>
  <c r="H1731" s="1"/>
  <c r="H1730" s="1"/>
  <c r="H1729" s="1"/>
  <c r="J1727"/>
  <c r="J1726" s="1"/>
  <c r="I1727"/>
  <c r="H1727"/>
  <c r="J1724"/>
  <c r="I1724"/>
  <c r="H1724"/>
  <c r="L1724" s="1"/>
  <c r="J1714"/>
  <c r="J1713" s="1"/>
  <c r="J1712" s="1"/>
  <c r="I1714"/>
  <c r="H1714"/>
  <c r="J1710"/>
  <c r="I1710"/>
  <c r="M1710" s="1"/>
  <c r="H1710"/>
  <c r="L1710" s="1"/>
  <c r="J1708"/>
  <c r="I1708"/>
  <c r="M1708" s="1"/>
  <c r="J1704"/>
  <c r="J1703" s="1"/>
  <c r="I1704"/>
  <c r="H1704"/>
  <c r="J1701"/>
  <c r="J1700" s="1"/>
  <c r="I1701"/>
  <c r="M1701" s="1"/>
  <c r="H1701"/>
  <c r="L1701" s="1"/>
  <c r="J1695"/>
  <c r="I1695"/>
  <c r="M1695" s="1"/>
  <c r="J1693"/>
  <c r="I1693"/>
  <c r="M1693" s="1"/>
  <c r="H1693"/>
  <c r="L1693" s="1"/>
  <c r="J1691"/>
  <c r="I1691"/>
  <c r="M1691" s="1"/>
  <c r="J1687"/>
  <c r="J1686" s="1"/>
  <c r="I1687"/>
  <c r="M1687" s="1"/>
  <c r="H1687"/>
  <c r="L1687" s="1"/>
  <c r="J1680"/>
  <c r="J1679" s="1"/>
  <c r="I1680"/>
  <c r="H1680"/>
  <c r="J1673"/>
  <c r="J1672" s="1"/>
  <c r="I1673"/>
  <c r="H1673"/>
  <c r="G1733"/>
  <c r="G1732" s="1"/>
  <c r="G1731" s="1"/>
  <c r="G1730" s="1"/>
  <c r="G1729" s="1"/>
  <c r="G1727"/>
  <c r="G1726" s="1"/>
  <c r="G1724"/>
  <c r="G1721" s="1"/>
  <c r="G1714"/>
  <c r="G1713" s="1"/>
  <c r="G1712" s="1"/>
  <c r="G1710"/>
  <c r="G1708"/>
  <c r="G1704"/>
  <c r="G1703" s="1"/>
  <c r="G1701"/>
  <c r="G1700" s="1"/>
  <c r="G1697"/>
  <c r="G1695"/>
  <c r="G1693"/>
  <c r="G1691"/>
  <c r="G1673"/>
  <c r="G1672" s="1"/>
  <c r="J1660"/>
  <c r="I1660"/>
  <c r="M1660" s="1"/>
  <c r="J1658"/>
  <c r="I1658"/>
  <c r="H1658"/>
  <c r="L1658" s="1"/>
  <c r="J1656"/>
  <c r="I1656"/>
  <c r="M1656" s="1"/>
  <c r="H1656"/>
  <c r="L1656" s="1"/>
  <c r="J1654"/>
  <c r="I1654"/>
  <c r="M1654" s="1"/>
  <c r="J1650"/>
  <c r="J1649" s="1"/>
  <c r="J1648" s="1"/>
  <c r="I1650"/>
  <c r="H1650"/>
  <c r="J1646"/>
  <c r="J1645" s="1"/>
  <c r="I1646"/>
  <c r="H1646"/>
  <c r="J1643"/>
  <c r="J1642" s="1"/>
  <c r="I1643"/>
  <c r="H1643"/>
  <c r="J1640"/>
  <c r="J1639" s="1"/>
  <c r="I1640"/>
  <c r="H1640"/>
  <c r="L1640" s="1"/>
  <c r="J1637"/>
  <c r="J1636" s="1"/>
  <c r="I1637"/>
  <c r="M1637" s="1"/>
  <c r="H1637"/>
  <c r="J1632"/>
  <c r="J1631" s="1"/>
  <c r="I1632"/>
  <c r="I1631" s="1"/>
  <c r="H1632"/>
  <c r="H1631" s="1"/>
  <c r="G1660"/>
  <c r="G1658"/>
  <c r="G1656"/>
  <c r="G1654"/>
  <c r="G1650"/>
  <c r="G1649" s="1"/>
  <c r="G1648" s="1"/>
  <c r="G1646"/>
  <c r="G1645" s="1"/>
  <c r="G1643"/>
  <c r="G1642" s="1"/>
  <c r="G1640"/>
  <c r="G1639" s="1"/>
  <c r="G1637"/>
  <c r="G1636" s="1"/>
  <c r="G1632"/>
  <c r="G1631" s="1"/>
  <c r="G1624" s="1"/>
  <c r="G1623" s="1"/>
  <c r="J1618"/>
  <c r="J1617" s="1"/>
  <c r="I1618"/>
  <c r="H1618"/>
  <c r="G1618"/>
  <c r="G1617" s="1"/>
  <c r="G1613" s="1"/>
  <c r="G1612" s="1"/>
  <c r="G1611" s="1"/>
  <c r="G1610" s="1"/>
  <c r="K1602"/>
  <c r="J1602"/>
  <c r="J1601" s="1"/>
  <c r="I1602"/>
  <c r="I1601" s="1"/>
  <c r="H1602"/>
  <c r="K1599"/>
  <c r="J1599"/>
  <c r="J1598" s="1"/>
  <c r="I1599"/>
  <c r="I1598" s="1"/>
  <c r="H1599"/>
  <c r="H1598" s="1"/>
  <c r="K1595"/>
  <c r="J1595"/>
  <c r="J1594" s="1"/>
  <c r="I1595"/>
  <c r="I1594" s="1"/>
  <c r="H1595"/>
  <c r="H1594" s="1"/>
  <c r="K1592"/>
  <c r="J1592"/>
  <c r="J1591" s="1"/>
  <c r="I1592"/>
  <c r="H1592"/>
  <c r="H1591" s="1"/>
  <c r="G1602"/>
  <c r="G1601" s="1"/>
  <c r="G1599"/>
  <c r="G1598" s="1"/>
  <c r="G1595"/>
  <c r="G1594" s="1"/>
  <c r="G1592"/>
  <c r="G1591" s="1"/>
  <c r="K1586"/>
  <c r="J1586"/>
  <c r="J1585" s="1"/>
  <c r="I1586"/>
  <c r="I1585" s="1"/>
  <c r="H1586"/>
  <c r="H1585" s="1"/>
  <c r="K1583"/>
  <c r="J1583"/>
  <c r="J1582" s="1"/>
  <c r="I1583"/>
  <c r="H1583"/>
  <c r="H1582" s="1"/>
  <c r="G1586"/>
  <c r="G1585" s="1"/>
  <c r="G1583"/>
  <c r="G1582" s="1"/>
  <c r="K1577"/>
  <c r="J1577"/>
  <c r="J1576" s="1"/>
  <c r="I1577"/>
  <c r="I1576" s="1"/>
  <c r="H1577"/>
  <c r="H1576" s="1"/>
  <c r="K1574"/>
  <c r="J1574"/>
  <c r="J1573" s="1"/>
  <c r="I1574"/>
  <c r="H1574"/>
  <c r="H1573" s="1"/>
  <c r="G1577"/>
  <c r="G1576" s="1"/>
  <c r="G1574"/>
  <c r="G1573" s="1"/>
  <c r="K1562"/>
  <c r="J1562"/>
  <c r="J1561" s="1"/>
  <c r="J1560" s="1"/>
  <c r="J1559" s="1"/>
  <c r="J1558" s="1"/>
  <c r="J1557" s="1"/>
  <c r="I1562"/>
  <c r="I1561" s="1"/>
  <c r="H1562"/>
  <c r="H1561" s="1"/>
  <c r="H1560" s="1"/>
  <c r="H1559" s="1"/>
  <c r="H1558" s="1"/>
  <c r="H1557" s="1"/>
  <c r="G1562"/>
  <c r="G1561" s="1"/>
  <c r="G1560" s="1"/>
  <c r="G1559" s="1"/>
  <c r="G1558" s="1"/>
  <c r="G1557" s="1"/>
  <c r="K1554"/>
  <c r="J1554"/>
  <c r="J1553" s="1"/>
  <c r="J1552" s="1"/>
  <c r="J1551" s="1"/>
  <c r="J1550" s="1"/>
  <c r="J1549" s="1"/>
  <c r="I1554"/>
  <c r="I1553" s="1"/>
  <c r="I1552" s="1"/>
  <c r="I1551" s="1"/>
  <c r="I1550" s="1"/>
  <c r="I1549" s="1"/>
  <c r="H1554"/>
  <c r="H1553" s="1"/>
  <c r="H1552" s="1"/>
  <c r="H1551" s="1"/>
  <c r="H1550" s="1"/>
  <c r="H1549" s="1"/>
  <c r="G1554"/>
  <c r="G1553" s="1"/>
  <c r="G1552" s="1"/>
  <c r="G1551" s="1"/>
  <c r="G1550" s="1"/>
  <c r="G1549" s="1"/>
  <c r="K1542"/>
  <c r="J1542"/>
  <c r="J1541" s="1"/>
  <c r="J1540" s="1"/>
  <c r="I1542"/>
  <c r="I1541" s="1"/>
  <c r="I1540" s="1"/>
  <c r="H1542"/>
  <c r="G1542"/>
  <c r="G1541" s="1"/>
  <c r="G1540" s="1"/>
  <c r="K1538"/>
  <c r="J1538"/>
  <c r="I1538"/>
  <c r="H1538"/>
  <c r="K1536"/>
  <c r="J1536"/>
  <c r="I1536"/>
  <c r="H1536"/>
  <c r="K1534"/>
  <c r="J1534"/>
  <c r="I1534"/>
  <c r="H1534"/>
  <c r="G1538"/>
  <c r="G1536"/>
  <c r="G1534"/>
  <c r="G1528"/>
  <c r="G1527" s="1"/>
  <c r="G1526" s="1"/>
  <c r="G1525" s="1"/>
  <c r="K1522"/>
  <c r="J1522"/>
  <c r="J1521" s="1"/>
  <c r="J1520" s="1"/>
  <c r="J1519" s="1"/>
  <c r="I1522"/>
  <c r="I1521" s="1"/>
  <c r="I1520" s="1"/>
  <c r="I1519" s="1"/>
  <c r="H1522"/>
  <c r="H1521" s="1"/>
  <c r="G1522"/>
  <c r="G1521" s="1"/>
  <c r="G1520" s="1"/>
  <c r="G1519" s="1"/>
  <c r="K1517"/>
  <c r="J1517"/>
  <c r="J1516" s="1"/>
  <c r="I1517"/>
  <c r="H1517"/>
  <c r="H1516" s="1"/>
  <c r="K1514"/>
  <c r="J1514"/>
  <c r="I1514"/>
  <c r="H1514"/>
  <c r="K1512"/>
  <c r="L1512" s="1"/>
  <c r="J1512"/>
  <c r="I1512"/>
  <c r="H1512"/>
  <c r="K1510"/>
  <c r="J1510"/>
  <c r="I1510"/>
  <c r="H1510"/>
  <c r="K1508"/>
  <c r="J1508"/>
  <c r="I1508"/>
  <c r="K1502"/>
  <c r="J1502"/>
  <c r="J1501" s="1"/>
  <c r="J1500" s="1"/>
  <c r="J1499" s="1"/>
  <c r="J1498" s="1"/>
  <c r="I1502"/>
  <c r="I1501" s="1"/>
  <c r="I1500" s="1"/>
  <c r="I1499" s="1"/>
  <c r="I1498" s="1"/>
  <c r="H1502"/>
  <c r="H1501" s="1"/>
  <c r="H1500" s="1"/>
  <c r="H1499" s="1"/>
  <c r="H1498" s="1"/>
  <c r="K1496"/>
  <c r="J1496"/>
  <c r="J1495" s="1"/>
  <c r="I1496"/>
  <c r="I1495" s="1"/>
  <c r="H1496"/>
  <c r="H1495" s="1"/>
  <c r="K1493"/>
  <c r="J1493"/>
  <c r="J1492" s="1"/>
  <c r="I1493"/>
  <c r="I1492" s="1"/>
  <c r="H1493"/>
  <c r="H1492" s="1"/>
  <c r="G1517"/>
  <c r="G1516" s="1"/>
  <c r="G1514"/>
  <c r="G1512"/>
  <c r="G1510"/>
  <c r="G1508"/>
  <c r="G1502"/>
  <c r="G1501" s="1"/>
  <c r="G1500" s="1"/>
  <c r="G1499" s="1"/>
  <c r="G1498" s="1"/>
  <c r="G1496"/>
  <c r="G1495" s="1"/>
  <c r="G1493"/>
  <c r="G1492" s="1"/>
  <c r="K1484"/>
  <c r="J1484"/>
  <c r="J1483" s="1"/>
  <c r="I1484"/>
  <c r="I1483" s="1"/>
  <c r="H1484"/>
  <c r="G1484"/>
  <c r="G1483" s="1"/>
  <c r="G1479" s="1"/>
  <c r="G1478" s="1"/>
  <c r="G1477" s="1"/>
  <c r="K1474"/>
  <c r="J1474"/>
  <c r="J1473" s="1"/>
  <c r="J1472" s="1"/>
  <c r="J1471" s="1"/>
  <c r="I1474"/>
  <c r="H1474"/>
  <c r="K1469"/>
  <c r="J1469"/>
  <c r="J1468" s="1"/>
  <c r="I1469"/>
  <c r="I1468" s="1"/>
  <c r="H1469"/>
  <c r="K1462"/>
  <c r="J1462"/>
  <c r="J1461" s="1"/>
  <c r="I1462"/>
  <c r="I1461" s="1"/>
  <c r="H1462"/>
  <c r="K1453"/>
  <c r="J1453"/>
  <c r="I1453"/>
  <c r="H1453"/>
  <c r="K1451"/>
  <c r="J1451"/>
  <c r="I1451"/>
  <c r="K1447"/>
  <c r="J1447"/>
  <c r="J1446" s="1"/>
  <c r="I1447"/>
  <c r="I1446" s="1"/>
  <c r="H1447"/>
  <c r="H1446" s="1"/>
  <c r="K1444"/>
  <c r="J1444"/>
  <c r="J1443" s="1"/>
  <c r="I1444"/>
  <c r="I1443" s="1"/>
  <c r="H1444"/>
  <c r="H1443" s="1"/>
  <c r="K1438"/>
  <c r="J1438"/>
  <c r="J1437" s="1"/>
  <c r="I1438"/>
  <c r="I1437" s="1"/>
  <c r="H1438"/>
  <c r="H1437" s="1"/>
  <c r="K1434"/>
  <c r="J1434"/>
  <c r="J1433" s="1"/>
  <c r="I1434"/>
  <c r="H1434"/>
  <c r="K1431"/>
  <c r="J1431"/>
  <c r="J1430" s="1"/>
  <c r="I1431"/>
  <c r="H1431"/>
  <c r="K1428"/>
  <c r="J1428"/>
  <c r="J1427" s="1"/>
  <c r="I1428"/>
  <c r="I1427" s="1"/>
  <c r="H1428"/>
  <c r="H1427" s="1"/>
  <c r="K1425"/>
  <c r="J1425"/>
  <c r="J1424" s="1"/>
  <c r="I1425"/>
  <c r="I1424" s="1"/>
  <c r="H1425"/>
  <c r="H1424" s="1"/>
  <c r="K1422"/>
  <c r="J1422"/>
  <c r="J1421" s="1"/>
  <c r="I1422"/>
  <c r="I1421" s="1"/>
  <c r="H1422"/>
  <c r="H1421" s="1"/>
  <c r="K1419"/>
  <c r="J1419"/>
  <c r="J1418" s="1"/>
  <c r="I1419"/>
  <c r="I1418" s="1"/>
  <c r="H1419"/>
  <c r="H1418" s="1"/>
  <c r="K1416"/>
  <c r="J1416"/>
  <c r="J1415" s="1"/>
  <c r="I1416"/>
  <c r="I1415" s="1"/>
  <c r="H1416"/>
  <c r="H1415" s="1"/>
  <c r="K1413"/>
  <c r="J1413"/>
  <c r="J1412" s="1"/>
  <c r="I1413"/>
  <c r="I1412" s="1"/>
  <c r="H1413"/>
  <c r="K1410"/>
  <c r="J1410"/>
  <c r="J1409" s="1"/>
  <c r="I1410"/>
  <c r="H1410"/>
  <c r="H1409" s="1"/>
  <c r="K1407"/>
  <c r="J1407"/>
  <c r="J1406" s="1"/>
  <c r="I1407"/>
  <c r="I1406" s="1"/>
  <c r="H1407"/>
  <c r="H1406" s="1"/>
  <c r="K1404"/>
  <c r="J1404"/>
  <c r="J1403" s="1"/>
  <c r="I1404"/>
  <c r="H1404"/>
  <c r="H1403" s="1"/>
  <c r="K1401"/>
  <c r="J1401"/>
  <c r="J1400" s="1"/>
  <c r="I1401"/>
  <c r="I1400" s="1"/>
  <c r="H1401"/>
  <c r="K1398"/>
  <c r="J1398"/>
  <c r="J1397" s="1"/>
  <c r="I1398"/>
  <c r="H1398"/>
  <c r="H1397" s="1"/>
  <c r="K1395"/>
  <c r="J1394"/>
  <c r="I1394"/>
  <c r="H1394"/>
  <c r="K1392"/>
  <c r="J1392"/>
  <c r="J1391" s="1"/>
  <c r="I1392"/>
  <c r="I1391" s="1"/>
  <c r="H1392"/>
  <c r="H1391" s="1"/>
  <c r="K1389"/>
  <c r="J1389"/>
  <c r="J1388" s="1"/>
  <c r="I1389"/>
  <c r="I1388" s="1"/>
  <c r="H1389"/>
  <c r="H1388" s="1"/>
  <c r="K1386"/>
  <c r="J1386"/>
  <c r="J1385" s="1"/>
  <c r="I1386"/>
  <c r="I1385" s="1"/>
  <c r="H1386"/>
  <c r="H1385" s="1"/>
  <c r="K1383"/>
  <c r="J1383"/>
  <c r="J1382" s="1"/>
  <c r="I1383"/>
  <c r="I1382" s="1"/>
  <c r="H1383"/>
  <c r="H1382" s="1"/>
  <c r="K1380"/>
  <c r="J1380"/>
  <c r="J1379" s="1"/>
  <c r="I1380"/>
  <c r="I1379" s="1"/>
  <c r="H1380"/>
  <c r="K1377"/>
  <c r="J1377"/>
  <c r="J1376" s="1"/>
  <c r="I1377"/>
  <c r="I1376" s="1"/>
  <c r="H1377"/>
  <c r="K1374"/>
  <c r="J1374"/>
  <c r="J1373" s="1"/>
  <c r="I1374"/>
  <c r="I1373" s="1"/>
  <c r="H1374"/>
  <c r="H1373" s="1"/>
  <c r="K1371"/>
  <c r="J1371"/>
  <c r="J1370" s="1"/>
  <c r="I1371"/>
  <c r="I1370" s="1"/>
  <c r="H1371"/>
  <c r="K1368"/>
  <c r="J1368"/>
  <c r="J1367" s="1"/>
  <c r="I1368"/>
  <c r="H1368"/>
  <c r="H1367" s="1"/>
  <c r="K1365"/>
  <c r="J1365"/>
  <c r="J1364" s="1"/>
  <c r="I1365"/>
  <c r="H1365"/>
  <c r="K1362"/>
  <c r="J1362"/>
  <c r="J1361" s="1"/>
  <c r="I1362"/>
  <c r="I1361" s="1"/>
  <c r="H1362"/>
  <c r="H1361" s="1"/>
  <c r="K1359"/>
  <c r="J1359"/>
  <c r="J1358" s="1"/>
  <c r="I1359"/>
  <c r="I1358" s="1"/>
  <c r="H1359"/>
  <c r="K1356"/>
  <c r="J1356"/>
  <c r="J1355" s="1"/>
  <c r="I1356"/>
  <c r="I1355" s="1"/>
  <c r="H1356"/>
  <c r="H1355" s="1"/>
  <c r="K1353"/>
  <c r="J1353"/>
  <c r="J1352" s="1"/>
  <c r="I1353"/>
  <c r="I1352" s="1"/>
  <c r="H1353"/>
  <c r="H1352" s="1"/>
  <c r="K1350"/>
  <c r="J1350"/>
  <c r="J1349" s="1"/>
  <c r="I1350"/>
  <c r="I1349" s="1"/>
  <c r="H1350"/>
  <c r="K1347"/>
  <c r="J1347"/>
  <c r="J1346" s="1"/>
  <c r="I1347"/>
  <c r="I1346" s="1"/>
  <c r="H1347"/>
  <c r="K1344"/>
  <c r="J1344"/>
  <c r="J1343" s="1"/>
  <c r="I1344"/>
  <c r="I1343" s="1"/>
  <c r="H1344"/>
  <c r="H1343" s="1"/>
  <c r="K1341"/>
  <c r="J1341"/>
  <c r="I1341"/>
  <c r="H1341"/>
  <c r="K1339"/>
  <c r="J1339"/>
  <c r="I1339"/>
  <c r="K1336"/>
  <c r="J1336"/>
  <c r="J1335" s="1"/>
  <c r="I1336"/>
  <c r="I1335" s="1"/>
  <c r="H1336"/>
  <c r="K1327"/>
  <c r="J1327"/>
  <c r="J1326" s="1"/>
  <c r="I1327"/>
  <c r="H1327"/>
  <c r="K1315"/>
  <c r="J1315"/>
  <c r="J1314" s="1"/>
  <c r="I1315"/>
  <c r="I1314" s="1"/>
  <c r="H1315"/>
  <c r="K1297"/>
  <c r="J1297"/>
  <c r="J1296" s="1"/>
  <c r="I1297"/>
  <c r="I1296" s="1"/>
  <c r="H1297"/>
  <c r="H1296" s="1"/>
  <c r="K1291"/>
  <c r="J1291"/>
  <c r="J1290" s="1"/>
  <c r="I1291"/>
  <c r="I1290" s="1"/>
  <c r="H1291"/>
  <c r="H1290" s="1"/>
  <c r="K1288"/>
  <c r="J1288"/>
  <c r="J1287" s="1"/>
  <c r="J1285"/>
  <c r="J1284" s="1"/>
  <c r="I1288"/>
  <c r="H1288"/>
  <c r="H1287" s="1"/>
  <c r="H1285"/>
  <c r="H1284" s="1"/>
  <c r="K1282"/>
  <c r="J1282"/>
  <c r="J1281" s="1"/>
  <c r="I1282"/>
  <c r="I1281" s="1"/>
  <c r="H1282"/>
  <c r="K1279"/>
  <c r="J1279"/>
  <c r="J1278" s="1"/>
  <c r="I1279"/>
  <c r="I1278" s="1"/>
  <c r="H1279"/>
  <c r="H1278" s="1"/>
  <c r="K1270"/>
  <c r="J1270"/>
  <c r="J1269" s="1"/>
  <c r="I1270"/>
  <c r="I1269" s="1"/>
  <c r="H1270"/>
  <c r="H1269" s="1"/>
  <c r="K1267"/>
  <c r="J1267"/>
  <c r="J1266" s="1"/>
  <c r="I1267"/>
  <c r="I1266" s="1"/>
  <c r="H1267"/>
  <c r="H1266" s="1"/>
  <c r="G1474"/>
  <c r="G1473" s="1"/>
  <c r="G1472" s="1"/>
  <c r="G1471" s="1"/>
  <c r="G1469"/>
  <c r="G1468" s="1"/>
  <c r="G1464" s="1"/>
  <c r="G1462"/>
  <c r="G1461" s="1"/>
  <c r="G1455"/>
  <c r="G1453"/>
  <c r="G1451"/>
  <c r="G1447"/>
  <c r="G1446" s="1"/>
  <c r="G1444"/>
  <c r="G1443" s="1"/>
  <c r="G1438"/>
  <c r="G1437" s="1"/>
  <c r="G1434"/>
  <c r="G1433" s="1"/>
  <c r="G1431"/>
  <c r="G1430" s="1"/>
  <c r="G1428"/>
  <c r="G1427" s="1"/>
  <c r="G1425"/>
  <c r="G1424" s="1"/>
  <c r="G1422"/>
  <c r="G1421" s="1"/>
  <c r="G1419"/>
  <c r="G1418" s="1"/>
  <c r="G1416"/>
  <c r="G1415" s="1"/>
  <c r="G1413"/>
  <c r="G1412" s="1"/>
  <c r="G1410"/>
  <c r="G1409" s="1"/>
  <c r="G1407"/>
  <c r="G1406" s="1"/>
  <c r="G1404"/>
  <c r="G1403" s="1"/>
  <c r="G1401"/>
  <c r="G1400" s="1"/>
  <c r="G1398"/>
  <c r="G1397" s="1"/>
  <c r="G1394"/>
  <c r="G1392"/>
  <c r="G1391" s="1"/>
  <c r="G1389"/>
  <c r="G1388" s="1"/>
  <c r="G1386"/>
  <c r="G1385" s="1"/>
  <c r="G1383"/>
  <c r="G1382" s="1"/>
  <c r="G1380"/>
  <c r="G1379" s="1"/>
  <c r="G1377"/>
  <c r="G1376" s="1"/>
  <c r="G1374"/>
  <c r="G1373" s="1"/>
  <c r="G1371"/>
  <c r="G1370" s="1"/>
  <c r="G1368"/>
  <c r="G1367" s="1"/>
  <c r="G1365"/>
  <c r="G1364" s="1"/>
  <c r="G1362"/>
  <c r="G1361" s="1"/>
  <c r="G1359"/>
  <c r="G1358" s="1"/>
  <c r="G1356"/>
  <c r="G1355" s="1"/>
  <c r="G1353"/>
  <c r="G1352" s="1"/>
  <c r="G1350"/>
  <c r="G1349" s="1"/>
  <c r="G1347"/>
  <c r="G1346" s="1"/>
  <c r="G1344"/>
  <c r="G1343" s="1"/>
  <c r="G1341"/>
  <c r="G1339"/>
  <c r="G1336"/>
  <c r="G1335" s="1"/>
  <c r="G1327"/>
  <c r="G1326" s="1"/>
  <c r="G1315"/>
  <c r="G1314" s="1"/>
  <c r="G1297"/>
  <c r="G1296" s="1"/>
  <c r="G1291"/>
  <c r="G1290" s="1"/>
  <c r="G1288"/>
  <c r="G1287" s="1"/>
  <c r="G1285"/>
  <c r="G1284" s="1"/>
  <c r="G1282"/>
  <c r="G1281" s="1"/>
  <c r="G1279"/>
  <c r="G1278" s="1"/>
  <c r="G1270"/>
  <c r="G1269" s="1"/>
  <c r="G1267"/>
  <c r="G1266" s="1"/>
  <c r="K1259"/>
  <c r="J1259"/>
  <c r="J1258" s="1"/>
  <c r="J1257" s="1"/>
  <c r="J1256" s="1"/>
  <c r="J1255" s="1"/>
  <c r="I1259"/>
  <c r="I1258" s="1"/>
  <c r="I1257" s="1"/>
  <c r="I1256" s="1"/>
  <c r="I1255" s="1"/>
  <c r="H1259"/>
  <c r="H1258" s="1"/>
  <c r="H1257" s="1"/>
  <c r="H1256" s="1"/>
  <c r="H1255" s="1"/>
  <c r="K1253"/>
  <c r="J1253"/>
  <c r="J1252" s="1"/>
  <c r="I1253"/>
  <c r="I1252" s="1"/>
  <c r="F1451" i="2" s="1"/>
  <c r="F1450" s="1"/>
  <c r="F1449" s="1"/>
  <c r="F1445" s="1"/>
  <c r="H1253" i="1"/>
  <c r="G1259"/>
  <c r="G1258" s="1"/>
  <c r="G1257" s="1"/>
  <c r="G1256" s="1"/>
  <c r="G1255" s="1"/>
  <c r="K1245"/>
  <c r="J1245"/>
  <c r="J1244" s="1"/>
  <c r="J1243" s="1"/>
  <c r="J1242" s="1"/>
  <c r="J1241" s="1"/>
  <c r="I1245"/>
  <c r="I1244" s="1"/>
  <c r="I1243" s="1"/>
  <c r="H1245"/>
  <c r="H1244" s="1"/>
  <c r="H1243" s="1"/>
  <c r="H1242" s="1"/>
  <c r="H1241" s="1"/>
  <c r="K1239"/>
  <c r="J1239"/>
  <c r="J1238" s="1"/>
  <c r="I1239"/>
  <c r="H1239"/>
  <c r="H1238" s="1"/>
  <c r="K1236"/>
  <c r="J1236"/>
  <c r="J1235" s="1"/>
  <c r="I1236"/>
  <c r="H1236"/>
  <c r="H1235" s="1"/>
  <c r="K1233"/>
  <c r="J1233"/>
  <c r="J1232" s="1"/>
  <c r="I1233"/>
  <c r="H1233"/>
  <c r="K1230"/>
  <c r="J1230"/>
  <c r="I1230"/>
  <c r="H1230"/>
  <c r="K1228"/>
  <c r="J1228"/>
  <c r="I1228"/>
  <c r="H1228"/>
  <c r="K1225"/>
  <c r="J1225"/>
  <c r="J1224" s="1"/>
  <c r="I1225"/>
  <c r="H1225"/>
  <c r="H1224" s="1"/>
  <c r="K1222"/>
  <c r="J1222"/>
  <c r="I1222"/>
  <c r="H1222"/>
  <c r="K1220"/>
  <c r="J1220"/>
  <c r="I1220"/>
  <c r="H1220"/>
  <c r="K1217"/>
  <c r="J1217"/>
  <c r="I1217"/>
  <c r="H1217"/>
  <c r="K1215"/>
  <c r="J1215"/>
  <c r="I1215"/>
  <c r="H1215"/>
  <c r="K1212"/>
  <c r="J1212"/>
  <c r="J1211" s="1"/>
  <c r="I1212"/>
  <c r="H1212"/>
  <c r="K1208"/>
  <c r="J1208"/>
  <c r="J1207" s="1"/>
  <c r="I1208"/>
  <c r="I1207" s="1"/>
  <c r="H1208"/>
  <c r="H1207" s="1"/>
  <c r="K1205"/>
  <c r="J1205"/>
  <c r="J1204" s="1"/>
  <c r="I1205"/>
  <c r="I1204" s="1"/>
  <c r="H1205"/>
  <c r="G1245"/>
  <c r="G1244" s="1"/>
  <c r="G1243" s="1"/>
  <c r="G1242" s="1"/>
  <c r="G1241" s="1"/>
  <c r="G1239"/>
  <c r="G1238" s="1"/>
  <c r="G1236"/>
  <c r="G1235" s="1"/>
  <c r="G1233"/>
  <c r="G1232" s="1"/>
  <c r="G1230"/>
  <c r="G1228"/>
  <c r="G1225"/>
  <c r="G1224" s="1"/>
  <c r="G1222"/>
  <c r="G1220"/>
  <c r="G1217"/>
  <c r="G1215"/>
  <c r="G1212"/>
  <c r="G1211" s="1"/>
  <c r="G1208"/>
  <c r="G1207" s="1"/>
  <c r="G1205"/>
  <c r="G1204" s="1"/>
  <c r="K1193"/>
  <c r="J1193"/>
  <c r="J1192" s="1"/>
  <c r="J1191" s="1"/>
  <c r="I1193"/>
  <c r="I1192" s="1"/>
  <c r="I1191" s="1"/>
  <c r="H1193"/>
  <c r="H1192" s="1"/>
  <c r="H1191" s="1"/>
  <c r="K1189"/>
  <c r="J1189"/>
  <c r="J1188" s="1"/>
  <c r="J1187" s="1"/>
  <c r="J1186" s="1"/>
  <c r="I1189"/>
  <c r="I1188" s="1"/>
  <c r="I1187" s="1"/>
  <c r="I1186" s="1"/>
  <c r="H1189"/>
  <c r="H1188" s="1"/>
  <c r="H1187" s="1"/>
  <c r="H1186" s="1"/>
  <c r="G1193"/>
  <c r="G1192" s="1"/>
  <c r="G1191" s="1"/>
  <c r="G1189"/>
  <c r="G1188" s="1"/>
  <c r="G1187" s="1"/>
  <c r="G1186" s="1"/>
  <c r="K1184"/>
  <c r="J1184"/>
  <c r="J1183" s="1"/>
  <c r="J1182" s="1"/>
  <c r="I1184"/>
  <c r="I1183" s="1"/>
  <c r="I1182" s="1"/>
  <c r="H1184"/>
  <c r="H1183" s="1"/>
  <c r="H1182" s="1"/>
  <c r="K1180"/>
  <c r="J1180"/>
  <c r="J1179" s="1"/>
  <c r="J1178" s="1"/>
  <c r="I1180"/>
  <c r="I1179" s="1"/>
  <c r="I1178" s="1"/>
  <c r="H1180"/>
  <c r="H1179" s="1"/>
  <c r="H1178" s="1"/>
  <c r="K1176"/>
  <c r="J1176"/>
  <c r="J1175" s="1"/>
  <c r="J1174" s="1"/>
  <c r="I1176"/>
  <c r="I1175" s="1"/>
  <c r="I1174" s="1"/>
  <c r="H1176"/>
  <c r="H1175" s="1"/>
  <c r="H1174" s="1"/>
  <c r="G1184"/>
  <c r="G1183" s="1"/>
  <c r="G1182" s="1"/>
  <c r="G1180"/>
  <c r="G1179" s="1"/>
  <c r="G1178" s="1"/>
  <c r="G1176"/>
  <c r="G1175" s="1"/>
  <c r="G1174" s="1"/>
  <c r="K1170"/>
  <c r="J1170"/>
  <c r="J1169" s="1"/>
  <c r="J1168" s="1"/>
  <c r="J1167" s="1"/>
  <c r="I1170"/>
  <c r="H1170"/>
  <c r="H1169" s="1"/>
  <c r="H1168" s="1"/>
  <c r="K1156"/>
  <c r="J1156"/>
  <c r="J1155" s="1"/>
  <c r="I1156"/>
  <c r="I1155" s="1"/>
  <c r="H1156"/>
  <c r="H1155" s="1"/>
  <c r="K1153"/>
  <c r="J1153"/>
  <c r="I1153"/>
  <c r="H1153"/>
  <c r="K1150"/>
  <c r="J1150"/>
  <c r="I1150"/>
  <c r="H1150"/>
  <c r="K1148"/>
  <c r="J1148"/>
  <c r="I1148"/>
  <c r="H1148"/>
  <c r="K1142"/>
  <c r="J1142"/>
  <c r="I1142"/>
  <c r="H1142"/>
  <c r="K1140"/>
  <c r="J1140"/>
  <c r="I1140"/>
  <c r="H1140"/>
  <c r="K1138"/>
  <c r="J1138"/>
  <c r="I1138"/>
  <c r="K1135"/>
  <c r="J1135"/>
  <c r="I1135"/>
  <c r="H1135"/>
  <c r="K1133"/>
  <c r="J1133"/>
  <c r="I1133"/>
  <c r="G1170"/>
  <c r="G1169" s="1"/>
  <c r="G1168" s="1"/>
  <c r="G1167" s="1"/>
  <c r="G1156"/>
  <c r="G1155" s="1"/>
  <c r="G1153"/>
  <c r="G1150"/>
  <c r="G1148"/>
  <c r="G1144"/>
  <c r="G1142"/>
  <c r="G1140"/>
  <c r="G1138"/>
  <c r="G1135"/>
  <c r="G1133"/>
  <c r="K1128"/>
  <c r="J1128"/>
  <c r="J1127" s="1"/>
  <c r="I1128"/>
  <c r="H1128"/>
  <c r="K1125"/>
  <c r="J1125"/>
  <c r="J1124" s="1"/>
  <c r="I1125"/>
  <c r="I1124" s="1"/>
  <c r="H1125"/>
  <c r="H1124" s="1"/>
  <c r="G1128"/>
  <c r="G1127" s="1"/>
  <c r="G1125"/>
  <c r="G1124" s="1"/>
  <c r="K1114"/>
  <c r="J1114"/>
  <c r="J1113" s="1"/>
  <c r="I1114"/>
  <c r="H1114"/>
  <c r="H1113" s="1"/>
  <c r="K1111"/>
  <c r="J1111"/>
  <c r="I1111"/>
  <c r="H1111"/>
  <c r="K1109"/>
  <c r="J1109"/>
  <c r="I1109"/>
  <c r="H1109"/>
  <c r="K1105"/>
  <c r="J1105"/>
  <c r="I1105"/>
  <c r="H1105"/>
  <c r="K1103"/>
  <c r="J1103"/>
  <c r="I1103"/>
  <c r="H1103"/>
  <c r="K1100"/>
  <c r="J1100"/>
  <c r="J1099" s="1"/>
  <c r="I1100"/>
  <c r="I1099" s="1"/>
  <c r="H1100"/>
  <c r="G1114"/>
  <c r="G1113" s="1"/>
  <c r="G1111"/>
  <c r="G1109"/>
  <c r="G1105"/>
  <c r="G1103"/>
  <c r="G1100"/>
  <c r="G1099" s="1"/>
  <c r="K1062"/>
  <c r="J1062"/>
  <c r="J1061" s="1"/>
  <c r="J1060" s="1"/>
  <c r="J1059" s="1"/>
  <c r="I1062"/>
  <c r="H1062"/>
  <c r="H1061" s="1"/>
  <c r="H1060" s="1"/>
  <c r="H1059" s="1"/>
  <c r="G1062"/>
  <c r="G1061" s="1"/>
  <c r="G1060" s="1"/>
  <c r="G1059" s="1"/>
  <c r="G1058" s="1"/>
  <c r="K1055"/>
  <c r="J1055"/>
  <c r="J1054" s="1"/>
  <c r="J1053" s="1"/>
  <c r="J1052" s="1"/>
  <c r="J1051" s="1"/>
  <c r="I1055"/>
  <c r="I1054" s="1"/>
  <c r="I1053" s="1"/>
  <c r="I1052" s="1"/>
  <c r="I1051" s="1"/>
  <c r="H1055"/>
  <c r="H1054" s="1"/>
  <c r="H1053" s="1"/>
  <c r="H1052" s="1"/>
  <c r="H1051" s="1"/>
  <c r="G1055"/>
  <c r="G1054" s="1"/>
  <c r="G1053" s="1"/>
  <c r="G1052" s="1"/>
  <c r="G1051" s="1"/>
  <c r="K1032"/>
  <c r="J1032"/>
  <c r="J1031" s="1"/>
  <c r="I1032"/>
  <c r="I1031" s="1"/>
  <c r="H1032"/>
  <c r="H1031" s="1"/>
  <c r="K1028"/>
  <c r="J1028"/>
  <c r="J1027" s="1"/>
  <c r="I1028"/>
  <c r="G1032"/>
  <c r="G1031" s="1"/>
  <c r="G1028"/>
  <c r="G1027" s="1"/>
  <c r="K993"/>
  <c r="J993"/>
  <c r="J992" s="1"/>
  <c r="J991" s="1"/>
  <c r="I993"/>
  <c r="H993"/>
  <c r="H992" s="1"/>
  <c r="H991" s="1"/>
  <c r="K989"/>
  <c r="J989"/>
  <c r="J988" s="1"/>
  <c r="J987" s="1"/>
  <c r="I989"/>
  <c r="I988" s="1"/>
  <c r="I987" s="1"/>
  <c r="H989"/>
  <c r="G993"/>
  <c r="G992" s="1"/>
  <c r="G991" s="1"/>
  <c r="G989"/>
  <c r="G988" s="1"/>
  <c r="G987" s="1"/>
  <c r="K957"/>
  <c r="K956" s="1"/>
  <c r="K955" s="1"/>
  <c r="J957"/>
  <c r="J956" s="1"/>
  <c r="J955" s="1"/>
  <c r="I957"/>
  <c r="I956" s="1"/>
  <c r="I955" s="1"/>
  <c r="H956"/>
  <c r="H955" s="1"/>
  <c r="K951"/>
  <c r="K950" s="1"/>
  <c r="K949" s="1"/>
  <c r="J951"/>
  <c r="J950" s="1"/>
  <c r="J949" s="1"/>
  <c r="I951"/>
  <c r="I950" s="1"/>
  <c r="I949" s="1"/>
  <c r="G957"/>
  <c r="G956" s="1"/>
  <c r="G955" s="1"/>
  <c r="G951"/>
  <c r="G950" s="1"/>
  <c r="G949" s="1"/>
  <c r="K881"/>
  <c r="L881" s="1"/>
  <c r="J881"/>
  <c r="I881"/>
  <c r="H881"/>
  <c r="K877"/>
  <c r="J877"/>
  <c r="G752" i="2" s="1"/>
  <c r="G751" s="1"/>
  <c r="G748" s="1"/>
  <c r="I877" i="1"/>
  <c r="F752" i="2" s="1"/>
  <c r="F751" s="1"/>
  <c r="F748" s="1"/>
  <c r="K875" i="1"/>
  <c r="J875"/>
  <c r="I875"/>
  <c r="K872"/>
  <c r="J872"/>
  <c r="I872"/>
  <c r="H872"/>
  <c r="K870"/>
  <c r="J870"/>
  <c r="I870"/>
  <c r="H870"/>
  <c r="K868"/>
  <c r="J868"/>
  <c r="I868"/>
  <c r="G881"/>
  <c r="G875"/>
  <c r="G872"/>
  <c r="G870"/>
  <c r="G868"/>
  <c r="K857"/>
  <c r="J857"/>
  <c r="J856" s="1"/>
  <c r="J855" s="1"/>
  <c r="I857"/>
  <c r="I856" s="1"/>
  <c r="I855" s="1"/>
  <c r="H857"/>
  <c r="H856" s="1"/>
  <c r="H855" s="1"/>
  <c r="K853"/>
  <c r="J853"/>
  <c r="J852" s="1"/>
  <c r="I853"/>
  <c r="I852" s="1"/>
  <c r="H853"/>
  <c r="H852" s="1"/>
  <c r="K850"/>
  <c r="J850"/>
  <c r="I850"/>
  <c r="H850"/>
  <c r="K847"/>
  <c r="J847"/>
  <c r="I847"/>
  <c r="H847"/>
  <c r="K845"/>
  <c r="J845"/>
  <c r="I845"/>
  <c r="H845"/>
  <c r="K842"/>
  <c r="K841" s="1"/>
  <c r="J842"/>
  <c r="J841" s="1"/>
  <c r="I842"/>
  <c r="I841" s="1"/>
  <c r="H842"/>
  <c r="H841" s="1"/>
  <c r="K838"/>
  <c r="J838"/>
  <c r="J837" s="1"/>
  <c r="I838"/>
  <c r="K832"/>
  <c r="J832"/>
  <c r="J831" s="1"/>
  <c r="I832"/>
  <c r="H832"/>
  <c r="K829"/>
  <c r="J829"/>
  <c r="J828" s="1"/>
  <c r="I829"/>
  <c r="H829"/>
  <c r="K826"/>
  <c r="J826"/>
  <c r="J825" s="1"/>
  <c r="I826"/>
  <c r="I825" s="1"/>
  <c r="H826"/>
  <c r="H825" s="1"/>
  <c r="K823"/>
  <c r="J823"/>
  <c r="J822" s="1"/>
  <c r="I823"/>
  <c r="I822" s="1"/>
  <c r="H823"/>
  <c r="H822" s="1"/>
  <c r="K814"/>
  <c r="J814"/>
  <c r="J813" s="1"/>
  <c r="I814"/>
  <c r="I813" s="1"/>
  <c r="H814"/>
  <c r="H813" s="1"/>
  <c r="K811"/>
  <c r="K810" s="1"/>
  <c r="J811"/>
  <c r="J810" s="1"/>
  <c r="I811"/>
  <c r="I810" s="1"/>
  <c r="H811"/>
  <c r="H810" s="1"/>
  <c r="G857"/>
  <c r="G856" s="1"/>
  <c r="G855" s="1"/>
  <c r="G853"/>
  <c r="G852" s="1"/>
  <c r="G850"/>
  <c r="G847"/>
  <c r="G845"/>
  <c r="G842"/>
  <c r="G841" s="1"/>
  <c r="G838"/>
  <c r="G837" s="1"/>
  <c r="G832"/>
  <c r="G831" s="1"/>
  <c r="G829"/>
  <c r="G828" s="1"/>
  <c r="G826"/>
  <c r="G825" s="1"/>
  <c r="G823"/>
  <c r="G822" s="1"/>
  <c r="G814"/>
  <c r="G813" s="1"/>
  <c r="G811"/>
  <c r="G810" s="1"/>
  <c r="K794"/>
  <c r="J794"/>
  <c r="J793" s="1"/>
  <c r="J792" s="1"/>
  <c r="I794"/>
  <c r="I793" s="1"/>
  <c r="I792" s="1"/>
  <c r="H794"/>
  <c r="H793" s="1"/>
  <c r="H792" s="1"/>
  <c r="G794"/>
  <c r="G793" s="1"/>
  <c r="G792" s="1"/>
  <c r="G791" s="1"/>
  <c r="K785"/>
  <c r="J785"/>
  <c r="J784" s="1"/>
  <c r="I785"/>
  <c r="I784" s="1"/>
  <c r="H785"/>
  <c r="H784" s="1"/>
  <c r="K782"/>
  <c r="J782"/>
  <c r="J781" s="1"/>
  <c r="I782"/>
  <c r="I781" s="1"/>
  <c r="H782"/>
  <c r="K779"/>
  <c r="J779"/>
  <c r="J778" s="1"/>
  <c r="I779"/>
  <c r="I778" s="1"/>
  <c r="H779"/>
  <c r="H778" s="1"/>
  <c r="G785"/>
  <c r="G784" s="1"/>
  <c r="G782"/>
  <c r="G781" s="1"/>
  <c r="G779"/>
  <c r="G778" s="1"/>
  <c r="K765"/>
  <c r="J765"/>
  <c r="J764" s="1"/>
  <c r="I765"/>
  <c r="I764" s="1"/>
  <c r="H765"/>
  <c r="H764" s="1"/>
  <c r="K762"/>
  <c r="J762"/>
  <c r="J761" s="1"/>
  <c r="I762"/>
  <c r="I761" s="1"/>
  <c r="H762"/>
  <c r="H761" s="1"/>
  <c r="K759"/>
  <c r="J759"/>
  <c r="J758" s="1"/>
  <c r="I759"/>
  <c r="I758" s="1"/>
  <c r="H759"/>
  <c r="H758" s="1"/>
  <c r="G765"/>
  <c r="G764" s="1"/>
  <c r="G762"/>
  <c r="G761" s="1"/>
  <c r="G759"/>
  <c r="G758" s="1"/>
  <c r="K740"/>
  <c r="J740"/>
  <c r="I740"/>
  <c r="H740"/>
  <c r="K738"/>
  <c r="J738"/>
  <c r="I738"/>
  <c r="H738"/>
  <c r="K734"/>
  <c r="J734"/>
  <c r="J733" s="1"/>
  <c r="J732" s="1"/>
  <c r="J731" s="1"/>
  <c r="I734"/>
  <c r="I733" s="1"/>
  <c r="I732" s="1"/>
  <c r="I731" s="1"/>
  <c r="H734"/>
  <c r="H733" s="1"/>
  <c r="G740"/>
  <c r="G738"/>
  <c r="G734"/>
  <c r="G733" s="1"/>
  <c r="G732" s="1"/>
  <c r="G731" s="1"/>
  <c r="K724"/>
  <c r="J724"/>
  <c r="J723" s="1"/>
  <c r="I724"/>
  <c r="I723" s="1"/>
  <c r="H724"/>
  <c r="H723" s="1"/>
  <c r="G724"/>
  <c r="G723" s="1"/>
  <c r="K721"/>
  <c r="J721"/>
  <c r="I721"/>
  <c r="K719"/>
  <c r="J719"/>
  <c r="I719"/>
  <c r="H719"/>
  <c r="K717"/>
  <c r="J717"/>
  <c r="I717"/>
  <c r="H717"/>
  <c r="K715"/>
  <c r="J715"/>
  <c r="I715"/>
  <c r="G721"/>
  <c r="G719"/>
  <c r="G717"/>
  <c r="G715"/>
  <c r="K711"/>
  <c r="J711"/>
  <c r="I711"/>
  <c r="H711"/>
  <c r="K709"/>
  <c r="J709"/>
  <c r="I709"/>
  <c r="H709"/>
  <c r="K707"/>
  <c r="J707"/>
  <c r="I707"/>
  <c r="H707"/>
  <c r="K705"/>
  <c r="J705"/>
  <c r="I705"/>
  <c r="K702"/>
  <c r="J702"/>
  <c r="I702"/>
  <c r="H702"/>
  <c r="K700"/>
  <c r="J700"/>
  <c r="I700"/>
  <c r="G711"/>
  <c r="G709"/>
  <c r="G707"/>
  <c r="G705"/>
  <c r="G702"/>
  <c r="G700"/>
  <c r="K696"/>
  <c r="J696"/>
  <c r="J695" s="1"/>
  <c r="I696"/>
  <c r="I695" s="1"/>
  <c r="H696"/>
  <c r="H695" s="1"/>
  <c r="K693"/>
  <c r="J693"/>
  <c r="J692" s="1"/>
  <c r="I693"/>
  <c r="I692" s="1"/>
  <c r="H693"/>
  <c r="K690"/>
  <c r="J690"/>
  <c r="J689" s="1"/>
  <c r="I690"/>
  <c r="H690"/>
  <c r="H689" s="1"/>
  <c r="G696"/>
  <c r="G695" s="1"/>
  <c r="G693"/>
  <c r="G692" s="1"/>
  <c r="G690"/>
  <c r="G689" s="1"/>
  <c r="K685"/>
  <c r="J685"/>
  <c r="I685"/>
  <c r="H685"/>
  <c r="K683"/>
  <c r="J683"/>
  <c r="I683"/>
  <c r="H683"/>
  <c r="G685"/>
  <c r="G683"/>
  <c r="K679"/>
  <c r="J679"/>
  <c r="I679"/>
  <c r="H679"/>
  <c r="K676"/>
  <c r="J676"/>
  <c r="I676"/>
  <c r="H676"/>
  <c r="K674"/>
  <c r="J674"/>
  <c r="I674"/>
  <c r="H674"/>
  <c r="G679"/>
  <c r="G676"/>
  <c r="G674"/>
  <c r="K667"/>
  <c r="J667"/>
  <c r="J666" s="1"/>
  <c r="I667"/>
  <c r="I666" s="1"/>
  <c r="H667"/>
  <c r="H666" s="1"/>
  <c r="G667"/>
  <c r="G666" s="1"/>
  <c r="G662"/>
  <c r="G655" s="1"/>
  <c r="K652"/>
  <c r="J652"/>
  <c r="J651" s="1"/>
  <c r="I652"/>
  <c r="I651" s="1"/>
  <c r="H652"/>
  <c r="K649"/>
  <c r="J649"/>
  <c r="J648" s="1"/>
  <c r="I649"/>
  <c r="I648" s="1"/>
  <c r="H649"/>
  <c r="H648" s="1"/>
  <c r="G652"/>
  <c r="G651" s="1"/>
  <c r="G649"/>
  <c r="G648" s="1"/>
  <c r="K645"/>
  <c r="J645"/>
  <c r="J644" s="1"/>
  <c r="I645"/>
  <c r="I644" s="1"/>
  <c r="H645"/>
  <c r="K642"/>
  <c r="J642"/>
  <c r="J641" s="1"/>
  <c r="I642"/>
  <c r="I641" s="1"/>
  <c r="H642"/>
  <c r="I639"/>
  <c r="I638" s="1"/>
  <c r="H639"/>
  <c r="G645"/>
  <c r="G644" s="1"/>
  <c r="G642"/>
  <c r="G641" s="1"/>
  <c r="G639"/>
  <c r="G638" s="1"/>
  <c r="K633"/>
  <c r="J633"/>
  <c r="J632" s="1"/>
  <c r="J631" s="1"/>
  <c r="J630" s="1"/>
  <c r="J629" s="1"/>
  <c r="I633"/>
  <c r="I632" s="1"/>
  <c r="I631" s="1"/>
  <c r="I630" s="1"/>
  <c r="I629" s="1"/>
  <c r="H633"/>
  <c r="G633"/>
  <c r="G632" s="1"/>
  <c r="G631" s="1"/>
  <c r="G630" s="1"/>
  <c r="G629" s="1"/>
  <c r="K626"/>
  <c r="J626"/>
  <c r="J625" s="1"/>
  <c r="J624" s="1"/>
  <c r="J623" s="1"/>
  <c r="J622" s="1"/>
  <c r="I626"/>
  <c r="I625" s="1"/>
  <c r="I624" s="1"/>
  <c r="I623" s="1"/>
  <c r="I622" s="1"/>
  <c r="H626"/>
  <c r="H625" s="1"/>
  <c r="G626"/>
  <c r="G625" s="1"/>
  <c r="G624" s="1"/>
  <c r="G623" s="1"/>
  <c r="G622" s="1"/>
  <c r="K620"/>
  <c r="J620"/>
  <c r="J619" s="1"/>
  <c r="I620"/>
  <c r="I619" s="1"/>
  <c r="H620"/>
  <c r="H619" s="1"/>
  <c r="K617"/>
  <c r="J617"/>
  <c r="J616" s="1"/>
  <c r="I617"/>
  <c r="H617"/>
  <c r="G620"/>
  <c r="G619" s="1"/>
  <c r="G617"/>
  <c r="G616" s="1"/>
  <c r="K601"/>
  <c r="J601"/>
  <c r="I601"/>
  <c r="H601"/>
  <c r="K599"/>
  <c r="J599"/>
  <c r="I599"/>
  <c r="H599"/>
  <c r="G601"/>
  <c r="G599"/>
  <c r="K590"/>
  <c r="J590"/>
  <c r="I590"/>
  <c r="H590"/>
  <c r="K588"/>
  <c r="J588"/>
  <c r="I588"/>
  <c r="H588"/>
  <c r="K571"/>
  <c r="J571"/>
  <c r="J570" s="1"/>
  <c r="I571"/>
  <c r="I570" s="1"/>
  <c r="H571"/>
  <c r="H570" s="1"/>
  <c r="G590"/>
  <c r="G588"/>
  <c r="G571"/>
  <c r="G570" s="1"/>
  <c r="G566" s="1"/>
  <c r="K550"/>
  <c r="K549" s="1"/>
  <c r="J550"/>
  <c r="J549" s="1"/>
  <c r="I550"/>
  <c r="I549" s="1"/>
  <c r="H550"/>
  <c r="H549" s="1"/>
  <c r="K539"/>
  <c r="J539"/>
  <c r="J538" s="1"/>
  <c r="J537" s="1"/>
  <c r="I539"/>
  <c r="I538" s="1"/>
  <c r="I537" s="1"/>
  <c r="H539"/>
  <c r="H538" s="1"/>
  <c r="H537" s="1"/>
  <c r="K535"/>
  <c r="J535"/>
  <c r="J534" s="1"/>
  <c r="I535"/>
  <c r="H535"/>
  <c r="K531"/>
  <c r="J531"/>
  <c r="J530" s="1"/>
  <c r="I531"/>
  <c r="I530" s="1"/>
  <c r="H531"/>
  <c r="H530" s="1"/>
  <c r="K524"/>
  <c r="J524"/>
  <c r="J523" s="1"/>
  <c r="I524"/>
  <c r="I523" s="1"/>
  <c r="H524"/>
  <c r="G550"/>
  <c r="G549" s="1"/>
  <c r="G545" s="1"/>
  <c r="G544" s="1"/>
  <c r="G539"/>
  <c r="G538" s="1"/>
  <c r="G537" s="1"/>
  <c r="G535"/>
  <c r="G534" s="1"/>
  <c r="G531"/>
  <c r="G530" s="1"/>
  <c r="G524"/>
  <c r="G523" s="1"/>
  <c r="K516"/>
  <c r="J516"/>
  <c r="J515" s="1"/>
  <c r="J514" s="1"/>
  <c r="I516"/>
  <c r="I515" s="1"/>
  <c r="I514" s="1"/>
  <c r="H516"/>
  <c r="H515" s="1"/>
  <c r="K512"/>
  <c r="J512"/>
  <c r="J511" s="1"/>
  <c r="J510" s="1"/>
  <c r="J509" s="1"/>
  <c r="I512"/>
  <c r="I511" s="1"/>
  <c r="I510" s="1"/>
  <c r="I509" s="1"/>
  <c r="H512"/>
  <c r="H511" s="1"/>
  <c r="H510" s="1"/>
  <c r="H509" s="1"/>
  <c r="K506"/>
  <c r="J506"/>
  <c r="J505" s="1"/>
  <c r="J504" s="1"/>
  <c r="I506"/>
  <c r="I505" s="1"/>
  <c r="I504" s="1"/>
  <c r="H506"/>
  <c r="H505" s="1"/>
  <c r="H504" s="1"/>
  <c r="K502"/>
  <c r="J502"/>
  <c r="J501" s="1"/>
  <c r="J500" s="1"/>
  <c r="J499" s="1"/>
  <c r="I502"/>
  <c r="H502"/>
  <c r="H501" s="1"/>
  <c r="G516"/>
  <c r="G515" s="1"/>
  <c r="G514" s="1"/>
  <c r="G512"/>
  <c r="G511" s="1"/>
  <c r="G510" s="1"/>
  <c r="G509" s="1"/>
  <c r="G506"/>
  <c r="G505" s="1"/>
  <c r="G504" s="1"/>
  <c r="G502"/>
  <c r="G501" s="1"/>
  <c r="G500" s="1"/>
  <c r="G499" s="1"/>
  <c r="K467"/>
  <c r="J467"/>
  <c r="J466" s="1"/>
  <c r="J465" s="1"/>
  <c r="J464" s="1"/>
  <c r="I467"/>
  <c r="I466" s="1"/>
  <c r="I465" s="1"/>
  <c r="I464" s="1"/>
  <c r="H467"/>
  <c r="H466" s="1"/>
  <c r="H465" s="1"/>
  <c r="H464" s="1"/>
  <c r="K489"/>
  <c r="J489"/>
  <c r="I489"/>
  <c r="G489"/>
  <c r="K487"/>
  <c r="J487"/>
  <c r="I487"/>
  <c r="H487"/>
  <c r="K485"/>
  <c r="J485"/>
  <c r="I485"/>
  <c r="G487"/>
  <c r="G485"/>
  <c r="K482"/>
  <c r="J482"/>
  <c r="J481" s="1"/>
  <c r="I482"/>
  <c r="I481" s="1"/>
  <c r="H482"/>
  <c r="G482"/>
  <c r="G481" s="1"/>
  <c r="K478"/>
  <c r="J478"/>
  <c r="J477" s="1"/>
  <c r="I478"/>
  <c r="I477" s="1"/>
  <c r="H478"/>
  <c r="K475"/>
  <c r="L475" s="1"/>
  <c r="J475"/>
  <c r="J474" s="1"/>
  <c r="I475"/>
  <c r="I474" s="1"/>
  <c r="H475"/>
  <c r="H474" s="1"/>
  <c r="K472"/>
  <c r="J472"/>
  <c r="J471" s="1"/>
  <c r="I472"/>
  <c r="I471" s="1"/>
  <c r="H472"/>
  <c r="H471" s="1"/>
  <c r="G478"/>
  <c r="G477" s="1"/>
  <c r="G475"/>
  <c r="G474" s="1"/>
  <c r="G472"/>
  <c r="G471" s="1"/>
  <c r="G467"/>
  <c r="G466" s="1"/>
  <c r="G465" s="1"/>
  <c r="G464" s="1"/>
  <c r="K437"/>
  <c r="J437"/>
  <c r="J436" s="1"/>
  <c r="I437"/>
  <c r="I436" s="1"/>
  <c r="H437"/>
  <c r="H436" s="1"/>
  <c r="K434"/>
  <c r="J434"/>
  <c r="J433" s="1"/>
  <c r="I434"/>
  <c r="I433" s="1"/>
  <c r="H434"/>
  <c r="H433" s="1"/>
  <c r="K431"/>
  <c r="J431"/>
  <c r="J430" s="1"/>
  <c r="I431"/>
  <c r="I430" s="1"/>
  <c r="H431"/>
  <c r="K428"/>
  <c r="J428"/>
  <c r="J427" s="1"/>
  <c r="I428"/>
  <c r="I427" s="1"/>
  <c r="H428"/>
  <c r="G437"/>
  <c r="G436" s="1"/>
  <c r="G434"/>
  <c r="G433" s="1"/>
  <c r="G431"/>
  <c r="G430" s="1"/>
  <c r="G428"/>
  <c r="G427" s="1"/>
  <c r="K424"/>
  <c r="J424"/>
  <c r="J423" s="1"/>
  <c r="I424"/>
  <c r="H424"/>
  <c r="H423" s="1"/>
  <c r="K421"/>
  <c r="J421"/>
  <c r="J420" s="1"/>
  <c r="I421"/>
  <c r="I420" s="1"/>
  <c r="H421"/>
  <c r="G424"/>
  <c r="G423" s="1"/>
  <c r="G421"/>
  <c r="G420" s="1"/>
  <c r="K417"/>
  <c r="J417"/>
  <c r="J416" s="1"/>
  <c r="I417"/>
  <c r="I416" s="1"/>
  <c r="H417"/>
  <c r="H416" s="1"/>
  <c r="K414"/>
  <c r="J414"/>
  <c r="J413" s="1"/>
  <c r="I414"/>
  <c r="I413" s="1"/>
  <c r="H414"/>
  <c r="K411"/>
  <c r="J411"/>
  <c r="I411"/>
  <c r="H411"/>
  <c r="K409"/>
  <c r="J409"/>
  <c r="I409"/>
  <c r="H409"/>
  <c r="G417"/>
  <c r="G416" s="1"/>
  <c r="G414"/>
  <c r="G413" s="1"/>
  <c r="G411"/>
  <c r="G409"/>
  <c r="K403"/>
  <c r="J403"/>
  <c r="J402" s="1"/>
  <c r="I403"/>
  <c r="I402" s="1"/>
  <c r="H403"/>
  <c r="H402" s="1"/>
  <c r="K400"/>
  <c r="J400"/>
  <c r="J399" s="1"/>
  <c r="I400"/>
  <c r="I399" s="1"/>
  <c r="H400"/>
  <c r="H399" s="1"/>
  <c r="K397"/>
  <c r="J397"/>
  <c r="J396" s="1"/>
  <c r="I397"/>
  <c r="I396" s="1"/>
  <c r="H397"/>
  <c r="G403"/>
  <c r="G402" s="1"/>
  <c r="G400"/>
  <c r="G399" s="1"/>
  <c r="G397"/>
  <c r="G396" s="1"/>
  <c r="K390"/>
  <c r="J390"/>
  <c r="I390"/>
  <c r="H390"/>
  <c r="K388"/>
  <c r="J388"/>
  <c r="I388"/>
  <c r="H388"/>
  <c r="K386"/>
  <c r="J386"/>
  <c r="I386"/>
  <c r="H386"/>
  <c r="K384"/>
  <c r="J384"/>
  <c r="I384"/>
  <c r="G390"/>
  <c r="G388"/>
  <c r="G386"/>
  <c r="G384"/>
  <c r="K349"/>
  <c r="J349"/>
  <c r="J348" s="1"/>
  <c r="I349"/>
  <c r="I348" s="1"/>
  <c r="H349"/>
  <c r="K346"/>
  <c r="J346"/>
  <c r="J345" s="1"/>
  <c r="I346"/>
  <c r="I345" s="1"/>
  <c r="H346"/>
  <c r="H345" s="1"/>
  <c r="K343"/>
  <c r="J343"/>
  <c r="J342" s="1"/>
  <c r="I343"/>
  <c r="H343"/>
  <c r="K340"/>
  <c r="J340"/>
  <c r="J339" s="1"/>
  <c r="I340"/>
  <c r="H340"/>
  <c r="H339" s="1"/>
  <c r="K337"/>
  <c r="J337"/>
  <c r="J336" s="1"/>
  <c r="I337"/>
  <c r="H337"/>
  <c r="H336" s="1"/>
  <c r="K330"/>
  <c r="J330"/>
  <c r="J329" s="1"/>
  <c r="I330"/>
  <c r="I329" s="1"/>
  <c r="H330"/>
  <c r="K327"/>
  <c r="J327"/>
  <c r="J326" s="1"/>
  <c r="I327"/>
  <c r="I326" s="1"/>
  <c r="H327"/>
  <c r="H326" s="1"/>
  <c r="K324"/>
  <c r="L324" s="1"/>
  <c r="J324"/>
  <c r="J323" s="1"/>
  <c r="I324"/>
  <c r="I323" s="1"/>
  <c r="H324"/>
  <c r="H323" s="1"/>
  <c r="G349"/>
  <c r="G348" s="1"/>
  <c r="G346"/>
  <c r="G345" s="1"/>
  <c r="G343"/>
  <c r="G342" s="1"/>
  <c r="G340"/>
  <c r="G339" s="1"/>
  <c r="G337"/>
  <c r="G336" s="1"/>
  <c r="G330"/>
  <c r="G329" s="1"/>
  <c r="G327"/>
  <c r="G326" s="1"/>
  <c r="G324"/>
  <c r="G323" s="1"/>
  <c r="K293"/>
  <c r="J293"/>
  <c r="I293"/>
  <c r="H293"/>
  <c r="G293"/>
  <c r="K318"/>
  <c r="J318"/>
  <c r="J317" s="1"/>
  <c r="J316" s="1"/>
  <c r="I318"/>
  <c r="I317" s="1"/>
  <c r="I316" s="1"/>
  <c r="H318"/>
  <c r="K314"/>
  <c r="J314"/>
  <c r="J313" s="1"/>
  <c r="I314"/>
  <c r="I313" s="1"/>
  <c r="H314"/>
  <c r="H313" s="1"/>
  <c r="K311"/>
  <c r="J311"/>
  <c r="J310" s="1"/>
  <c r="I311"/>
  <c r="H311"/>
  <c r="H310" s="1"/>
  <c r="K308"/>
  <c r="J308"/>
  <c r="J307" s="1"/>
  <c r="I308"/>
  <c r="H308"/>
  <c r="K305"/>
  <c r="J305"/>
  <c r="J304" s="1"/>
  <c r="I305"/>
  <c r="H305"/>
  <c r="K302"/>
  <c r="J302"/>
  <c r="J301" s="1"/>
  <c r="I302"/>
  <c r="I301" s="1"/>
  <c r="H302"/>
  <c r="K299"/>
  <c r="J299"/>
  <c r="J298" s="1"/>
  <c r="I299"/>
  <c r="H299"/>
  <c r="H298" s="1"/>
  <c r="K295"/>
  <c r="J295"/>
  <c r="J292" s="1"/>
  <c r="J291" s="1"/>
  <c r="I295"/>
  <c r="I292" s="1"/>
  <c r="I291" s="1"/>
  <c r="H295"/>
  <c r="H292" s="1"/>
  <c r="H291" s="1"/>
  <c r="G318"/>
  <c r="G317" s="1"/>
  <c r="G316" s="1"/>
  <c r="G314"/>
  <c r="G313" s="1"/>
  <c r="G311"/>
  <c r="G310" s="1"/>
  <c r="G308"/>
  <c r="G307" s="1"/>
  <c r="G305"/>
  <c r="G304" s="1"/>
  <c r="G302"/>
  <c r="G301" s="1"/>
  <c r="G295"/>
  <c r="G292" s="1"/>
  <c r="G291" s="1"/>
  <c r="K375"/>
  <c r="J375"/>
  <c r="J374" s="1"/>
  <c r="J373" s="1"/>
  <c r="J372" s="1"/>
  <c r="J371" s="1"/>
  <c r="J370" s="1"/>
  <c r="I375"/>
  <c r="I374" s="1"/>
  <c r="I373" s="1"/>
  <c r="I372" s="1"/>
  <c r="I371" s="1"/>
  <c r="I370" s="1"/>
  <c r="H375"/>
  <c r="G375"/>
  <c r="G374" s="1"/>
  <c r="G373" s="1"/>
  <c r="G372" s="1"/>
  <c r="G371" s="1"/>
  <c r="G370" s="1"/>
  <c r="K271"/>
  <c r="J271"/>
  <c r="I271"/>
  <c r="K269"/>
  <c r="J269"/>
  <c r="I269"/>
  <c r="H269"/>
  <c r="K267"/>
  <c r="J267"/>
  <c r="I267"/>
  <c r="K262"/>
  <c r="J262"/>
  <c r="J261" s="1"/>
  <c r="J260" s="1"/>
  <c r="J259" s="1"/>
  <c r="I262"/>
  <c r="I261" s="1"/>
  <c r="I260" s="1"/>
  <c r="I259" s="1"/>
  <c r="H262"/>
  <c r="G271"/>
  <c r="G269"/>
  <c r="G267"/>
  <c r="G262"/>
  <c r="G261" s="1"/>
  <c r="G260" s="1"/>
  <c r="G259" s="1"/>
  <c r="K252"/>
  <c r="J252"/>
  <c r="J251" s="1"/>
  <c r="J250" s="1"/>
  <c r="I252"/>
  <c r="I251" s="1"/>
  <c r="I250" s="1"/>
  <c r="H252"/>
  <c r="H251" s="1"/>
  <c r="K248"/>
  <c r="J248"/>
  <c r="I248"/>
  <c r="K246"/>
  <c r="J246"/>
  <c r="I246"/>
  <c r="H246"/>
  <c r="K244"/>
  <c r="J244"/>
  <c r="I244"/>
  <c r="H244"/>
  <c r="K242"/>
  <c r="J242"/>
  <c r="I242"/>
  <c r="K238"/>
  <c r="J238"/>
  <c r="J237" s="1"/>
  <c r="J236" s="1"/>
  <c r="I238"/>
  <c r="I237" s="1"/>
  <c r="I236" s="1"/>
  <c r="H238"/>
  <c r="G252"/>
  <c r="G251" s="1"/>
  <c r="G250" s="1"/>
  <c r="G248"/>
  <c r="G246"/>
  <c r="G244"/>
  <c r="G242"/>
  <c r="G238"/>
  <c r="G237" s="1"/>
  <c r="G236" s="1"/>
  <c r="K230"/>
  <c r="J230"/>
  <c r="J229" s="1"/>
  <c r="J228" s="1"/>
  <c r="J227" s="1"/>
  <c r="J226" s="1"/>
  <c r="J225" s="1"/>
  <c r="I230"/>
  <c r="I229" s="1"/>
  <c r="I228" s="1"/>
  <c r="I227" s="1"/>
  <c r="I226" s="1"/>
  <c r="I225" s="1"/>
  <c r="H230"/>
  <c r="G230"/>
  <c r="G229" s="1"/>
  <c r="G228" s="1"/>
  <c r="G227" s="1"/>
  <c r="G226" s="1"/>
  <c r="G225" s="1"/>
  <c r="K207"/>
  <c r="J207"/>
  <c r="J206" s="1"/>
  <c r="J205" s="1"/>
  <c r="J204" s="1"/>
  <c r="J203" s="1"/>
  <c r="J202" s="1"/>
  <c r="I207"/>
  <c r="I206" s="1"/>
  <c r="I205" s="1"/>
  <c r="I204" s="1"/>
  <c r="I203" s="1"/>
  <c r="I202" s="1"/>
  <c r="H207"/>
  <c r="H206" s="1"/>
  <c r="H205" s="1"/>
  <c r="H204" s="1"/>
  <c r="H203" s="1"/>
  <c r="H202" s="1"/>
  <c r="G207"/>
  <c r="G206" s="1"/>
  <c r="G205" s="1"/>
  <c r="G204" s="1"/>
  <c r="G203" s="1"/>
  <c r="G202" s="1"/>
  <c r="K199"/>
  <c r="J199"/>
  <c r="J198" s="1"/>
  <c r="J197" s="1"/>
  <c r="I199"/>
  <c r="I198" s="1"/>
  <c r="I197" s="1"/>
  <c r="H199"/>
  <c r="H198" s="1"/>
  <c r="H197" s="1"/>
  <c r="K195"/>
  <c r="J195"/>
  <c r="J194" s="1"/>
  <c r="I195"/>
  <c r="I194" s="1"/>
  <c r="H195"/>
  <c r="K192"/>
  <c r="J192"/>
  <c r="J191" s="1"/>
  <c r="J190" s="1"/>
  <c r="I192"/>
  <c r="I191" s="1"/>
  <c r="I190" s="1"/>
  <c r="H192"/>
  <c r="H191" s="1"/>
  <c r="H190" s="1"/>
  <c r="G199"/>
  <c r="G198" s="1"/>
  <c r="G197" s="1"/>
  <c r="G195"/>
  <c r="G194" s="1"/>
  <c r="G192"/>
  <c r="G191" s="1"/>
  <c r="G190" s="1"/>
  <c r="K178"/>
  <c r="J178"/>
  <c r="I178"/>
  <c r="H178"/>
  <c r="K176"/>
  <c r="J176"/>
  <c r="I176"/>
  <c r="H176"/>
  <c r="K173"/>
  <c r="J173"/>
  <c r="J172" s="1"/>
  <c r="I173"/>
  <c r="I172" s="1"/>
  <c r="H173"/>
  <c r="H172" s="1"/>
  <c r="G178"/>
  <c r="G176"/>
  <c r="G173"/>
  <c r="G172" s="1"/>
  <c r="K119"/>
  <c r="J119"/>
  <c r="J118" s="1"/>
  <c r="I119"/>
  <c r="I118" s="1"/>
  <c r="H119"/>
  <c r="H118" s="1"/>
  <c r="G119"/>
  <c r="G118" s="1"/>
  <c r="K152"/>
  <c r="J152"/>
  <c r="J151" s="1"/>
  <c r="I152"/>
  <c r="I151" s="1"/>
  <c r="H152"/>
  <c r="H151" s="1"/>
  <c r="K149"/>
  <c r="J149"/>
  <c r="J148" s="1"/>
  <c r="I149"/>
  <c r="I148" s="1"/>
  <c r="H149"/>
  <c r="H148" s="1"/>
  <c r="K142"/>
  <c r="J142"/>
  <c r="J141" s="1"/>
  <c r="J140" s="1"/>
  <c r="I142"/>
  <c r="I141" s="1"/>
  <c r="I140" s="1"/>
  <c r="H142"/>
  <c r="H141" s="1"/>
  <c r="H140" s="1"/>
  <c r="G152"/>
  <c r="G151" s="1"/>
  <c r="G149"/>
  <c r="G148" s="1"/>
  <c r="G142"/>
  <c r="G141" s="1"/>
  <c r="G140" s="1"/>
  <c r="K116"/>
  <c r="J116"/>
  <c r="J115" s="1"/>
  <c r="I116"/>
  <c r="I115" s="1"/>
  <c r="H116"/>
  <c r="H115" s="1"/>
  <c r="G116"/>
  <c r="G115" s="1"/>
  <c r="K108"/>
  <c r="J108"/>
  <c r="J107" s="1"/>
  <c r="I108"/>
  <c r="I107" s="1"/>
  <c r="H108"/>
  <c r="H107" s="1"/>
  <c r="K105"/>
  <c r="J105"/>
  <c r="J104" s="1"/>
  <c r="I105"/>
  <c r="H105"/>
  <c r="G108"/>
  <c r="G107" s="1"/>
  <c r="G105"/>
  <c r="G104" s="1"/>
  <c r="K99"/>
  <c r="J99"/>
  <c r="J98" s="1"/>
  <c r="I99"/>
  <c r="H99"/>
  <c r="G99"/>
  <c r="G98" s="1"/>
  <c r="K96"/>
  <c r="J96"/>
  <c r="J95" s="1"/>
  <c r="I96"/>
  <c r="I95" s="1"/>
  <c r="H96"/>
  <c r="H95" s="1"/>
  <c r="G96"/>
  <c r="G95" s="1"/>
  <c r="K91"/>
  <c r="J91"/>
  <c r="J90" s="1"/>
  <c r="J89" s="1"/>
  <c r="I91"/>
  <c r="I90" s="1"/>
  <c r="I89" s="1"/>
  <c r="H91"/>
  <c r="K87"/>
  <c r="J87"/>
  <c r="J86" s="1"/>
  <c r="I87"/>
  <c r="I86" s="1"/>
  <c r="H87"/>
  <c r="H86" s="1"/>
  <c r="K84"/>
  <c r="J84"/>
  <c r="J83" s="1"/>
  <c r="I84"/>
  <c r="I83" s="1"/>
  <c r="H84"/>
  <c r="H83" s="1"/>
  <c r="G91"/>
  <c r="G90" s="1"/>
  <c r="G89" s="1"/>
  <c r="G84"/>
  <c r="G83" s="1"/>
  <c r="K76"/>
  <c r="J76"/>
  <c r="J75" s="1"/>
  <c r="I76"/>
  <c r="I75" s="1"/>
  <c r="H76"/>
  <c r="K73"/>
  <c r="J73"/>
  <c r="J72" s="1"/>
  <c r="I73"/>
  <c r="H73"/>
  <c r="G76"/>
  <c r="G75" s="1"/>
  <c r="G73"/>
  <c r="G72" s="1"/>
  <c r="K67"/>
  <c r="J67"/>
  <c r="J59"/>
  <c r="J61"/>
  <c r="J65"/>
  <c r="I67"/>
  <c r="K65"/>
  <c r="I65"/>
  <c r="K61"/>
  <c r="I61"/>
  <c r="H61"/>
  <c r="K59"/>
  <c r="I59"/>
  <c r="H56"/>
  <c r="I56"/>
  <c r="J56"/>
  <c r="K56"/>
  <c r="K54"/>
  <c r="J54"/>
  <c r="I54"/>
  <c r="H54"/>
  <c r="K52"/>
  <c r="J52"/>
  <c r="I52"/>
  <c r="H52"/>
  <c r="K50"/>
  <c r="J50"/>
  <c r="I50"/>
  <c r="G67"/>
  <c r="G65"/>
  <c r="G61"/>
  <c r="G59"/>
  <c r="G56"/>
  <c r="G54"/>
  <c r="G52"/>
  <c r="G50"/>
  <c r="K33"/>
  <c r="J33"/>
  <c r="J32" s="1"/>
  <c r="J31" s="1"/>
  <c r="I33"/>
  <c r="I32" s="1"/>
  <c r="I31" s="1"/>
  <c r="H33"/>
  <c r="H32" s="1"/>
  <c r="H31" s="1"/>
  <c r="G33"/>
  <c r="G32" s="1"/>
  <c r="G31" s="1"/>
  <c r="G30" s="1"/>
  <c r="K28"/>
  <c r="K27" s="1"/>
  <c r="J28"/>
  <c r="J27" s="1"/>
  <c r="I28"/>
  <c r="I27" s="1"/>
  <c r="H28"/>
  <c r="H27" s="1"/>
  <c r="K25"/>
  <c r="J25"/>
  <c r="J24" s="1"/>
  <c r="I25"/>
  <c r="I24" s="1"/>
  <c r="H25"/>
  <c r="H24" s="1"/>
  <c r="G28"/>
  <c r="G27" s="1"/>
  <c r="G25"/>
  <c r="G24" s="1"/>
  <c r="K14"/>
  <c r="K13" s="1"/>
  <c r="K12" s="1"/>
  <c r="J14"/>
  <c r="J13" s="1"/>
  <c r="J12" s="1"/>
  <c r="J11" s="1"/>
  <c r="J10" s="1"/>
  <c r="J9" s="1"/>
  <c r="I14"/>
  <c r="I13" s="1"/>
  <c r="I12" s="1"/>
  <c r="I11" s="1"/>
  <c r="I10" s="1"/>
  <c r="I9" s="1"/>
  <c r="H14"/>
  <c r="H13" s="1"/>
  <c r="G14"/>
  <c r="G13" s="1"/>
  <c r="G12" s="1"/>
  <c r="G11" s="1"/>
  <c r="G10" s="1"/>
  <c r="G9" s="1"/>
  <c r="M34"/>
  <c r="L34"/>
  <c r="L29"/>
  <c r="L26"/>
  <c r="M15"/>
  <c r="L15"/>
  <c r="I1285"/>
  <c r="I1284" s="1"/>
  <c r="G682" l="1"/>
  <c r="L1410"/>
  <c r="L1759"/>
  <c r="L1780"/>
  <c r="L2597"/>
  <c r="E1836" i="2"/>
  <c r="E1835" s="1"/>
  <c r="L1766" i="1"/>
  <c r="F2105" i="2"/>
  <c r="F2104" s="1"/>
  <c r="G2105"/>
  <c r="G2104" s="1"/>
  <c r="G2009" s="1"/>
  <c r="G2090"/>
  <c r="L2796" i="1"/>
  <c r="L1117"/>
  <c r="L1165"/>
  <c r="L547"/>
  <c r="G2133" i="2"/>
  <c r="H2807" i="1"/>
  <c r="E1822" i="2"/>
  <c r="I1822" s="1"/>
  <c r="H721"/>
  <c r="H2526" i="1"/>
  <c r="L1359"/>
  <c r="L1431"/>
  <c r="H2960"/>
  <c r="G1756" i="2"/>
  <c r="F1679"/>
  <c r="H1490"/>
  <c r="H1489" s="1"/>
  <c r="H1453" s="1"/>
  <c r="F1756"/>
  <c r="G202"/>
  <c r="F1175"/>
  <c r="F1174" s="1"/>
  <c r="G87"/>
  <c r="G83" s="1"/>
  <c r="H1097"/>
  <c r="F1964"/>
  <c r="G32"/>
  <c r="H1058"/>
  <c r="H1048" s="1"/>
  <c r="F987"/>
  <c r="F794" s="1"/>
  <c r="G103"/>
  <c r="F87"/>
  <c r="F83" s="1"/>
  <c r="F339"/>
  <c r="G1588"/>
  <c r="I399"/>
  <c r="F1541"/>
  <c r="G1537"/>
  <c r="G1522" s="1"/>
  <c r="F1938"/>
  <c r="F1930" s="1"/>
  <c r="F1928" s="1"/>
  <c r="F393"/>
  <c r="F389" s="1"/>
  <c r="H1537"/>
  <c r="F1499"/>
  <c r="F1489" s="1"/>
  <c r="F1453" s="1"/>
  <c r="F2034"/>
  <c r="F2033" s="1"/>
  <c r="F2022" s="1"/>
  <c r="G1962"/>
  <c r="F720"/>
  <c r="F1755"/>
  <c r="F2090"/>
  <c r="G1277"/>
  <c r="K104" i="1"/>
  <c r="L105"/>
  <c r="M105"/>
  <c r="M375"/>
  <c r="L375"/>
  <c r="M340"/>
  <c r="L340"/>
  <c r="K420"/>
  <c r="L421"/>
  <c r="M421"/>
  <c r="L472"/>
  <c r="M472"/>
  <c r="L599"/>
  <c r="M599"/>
  <c r="L1109"/>
  <c r="M1109"/>
  <c r="K1188"/>
  <c r="M1189"/>
  <c r="L1189"/>
  <c r="K1598"/>
  <c r="M1599"/>
  <c r="L1599"/>
  <c r="I1645"/>
  <c r="M1645" s="1"/>
  <c r="M1646"/>
  <c r="L1932"/>
  <c r="M1932"/>
  <c r="L2032"/>
  <c r="M2032"/>
  <c r="M2824"/>
  <c r="L2824"/>
  <c r="M1300"/>
  <c r="L1300"/>
  <c r="M2947"/>
  <c r="L2947"/>
  <c r="K281"/>
  <c r="M282"/>
  <c r="L282"/>
  <c r="H1676"/>
  <c r="L1676" s="1"/>
  <c r="L1677"/>
  <c r="E1492" i="2"/>
  <c r="I1492" s="1"/>
  <c r="L442" i="1"/>
  <c r="K834"/>
  <c r="L835"/>
  <c r="M835"/>
  <c r="L1606"/>
  <c r="M1606"/>
  <c r="H1742"/>
  <c r="L1743"/>
  <c r="E1111" i="2"/>
  <c r="I1111" s="1"/>
  <c r="L1858" i="1"/>
  <c r="E1184" i="2"/>
  <c r="L2306" i="1"/>
  <c r="E2084" i="2"/>
  <c r="E2083" s="1"/>
  <c r="I2083" s="1"/>
  <c r="L2431" i="1"/>
  <c r="K2522"/>
  <c r="L2522" s="1"/>
  <c r="L2523"/>
  <c r="K2615"/>
  <c r="M2616"/>
  <c r="L2616"/>
  <c r="E1614" i="2"/>
  <c r="E1613" s="1"/>
  <c r="I1613" s="1"/>
  <c r="L2700" i="1"/>
  <c r="E1429" i="2"/>
  <c r="E1428" s="1"/>
  <c r="L2937" i="1"/>
  <c r="H1122" i="2"/>
  <c r="J1122" s="1"/>
  <c r="J1123"/>
  <c r="K1612" i="1"/>
  <c r="H1125" i="2"/>
  <c r="J1126"/>
  <c r="M50" i="1"/>
  <c r="L50"/>
  <c r="M54"/>
  <c r="L54"/>
  <c r="K194"/>
  <c r="L195"/>
  <c r="M195"/>
  <c r="M238"/>
  <c r="L238"/>
  <c r="K298"/>
  <c r="L299"/>
  <c r="M299"/>
  <c r="K304"/>
  <c r="L305"/>
  <c r="M305"/>
  <c r="K310"/>
  <c r="L311"/>
  <c r="M311"/>
  <c r="K317"/>
  <c r="K316" s="1"/>
  <c r="L318"/>
  <c r="M386"/>
  <c r="L386"/>
  <c r="L390"/>
  <c r="M390"/>
  <c r="M531"/>
  <c r="L531"/>
  <c r="L539"/>
  <c r="M539"/>
  <c r="L652"/>
  <c r="M652"/>
  <c r="K733"/>
  <c r="M734"/>
  <c r="L734"/>
  <c r="M740"/>
  <c r="L740"/>
  <c r="M826"/>
  <c r="L826"/>
  <c r="K831"/>
  <c r="M832"/>
  <c r="L832"/>
  <c r="K992"/>
  <c r="M993"/>
  <c r="L993"/>
  <c r="M1138"/>
  <c r="L1142"/>
  <c r="M1142"/>
  <c r="L1150"/>
  <c r="M1150"/>
  <c r="L1156"/>
  <c r="M1156"/>
  <c r="K1252"/>
  <c r="L1253"/>
  <c r="M1253"/>
  <c r="M1554"/>
  <c r="L1554"/>
  <c r="I1617"/>
  <c r="M1617" s="1"/>
  <c r="M1618"/>
  <c r="H1645"/>
  <c r="L1645" s="1"/>
  <c r="L1646"/>
  <c r="H1679"/>
  <c r="L1679" s="1"/>
  <c r="L1680"/>
  <c r="H1703"/>
  <c r="L1703" s="1"/>
  <c r="L1704"/>
  <c r="H1713"/>
  <c r="L1714"/>
  <c r="M1855"/>
  <c r="L1855"/>
  <c r="M1973"/>
  <c r="L1973"/>
  <c r="L1978"/>
  <c r="M1978"/>
  <c r="L1983"/>
  <c r="M1983"/>
  <c r="L1988"/>
  <c r="M1988"/>
  <c r="M1993"/>
  <c r="L1993"/>
  <c r="L1998"/>
  <c r="M1998"/>
  <c r="L2004"/>
  <c r="M2004"/>
  <c r="M2009"/>
  <c r="L2009"/>
  <c r="L2047"/>
  <c r="M2047"/>
  <c r="L2052"/>
  <c r="M2052"/>
  <c r="M2057"/>
  <c r="L2057"/>
  <c r="L2062"/>
  <c r="M2062"/>
  <c r="L2067"/>
  <c r="M2067"/>
  <c r="L2072"/>
  <c r="M2072"/>
  <c r="M2077"/>
  <c r="L2077"/>
  <c r="M2082"/>
  <c r="L2082"/>
  <c r="L2087"/>
  <c r="M2087"/>
  <c r="L2092"/>
  <c r="M2092"/>
  <c r="M2097"/>
  <c r="L2097"/>
  <c r="M2102"/>
  <c r="L2102"/>
  <c r="L2107"/>
  <c r="M2107"/>
  <c r="L2112"/>
  <c r="M2112"/>
  <c r="L2119"/>
  <c r="M2119"/>
  <c r="K2125"/>
  <c r="L2126"/>
  <c r="M2133"/>
  <c r="L2133"/>
  <c r="K2200"/>
  <c r="L2200" s="1"/>
  <c r="L2201"/>
  <c r="M2263"/>
  <c r="L2308"/>
  <c r="M2308"/>
  <c r="M2331"/>
  <c r="L2335"/>
  <c r="M2335"/>
  <c r="L2434"/>
  <c r="M2434"/>
  <c r="L2495"/>
  <c r="M2495"/>
  <c r="L2500"/>
  <c r="M2500"/>
  <c r="K2506"/>
  <c r="L2507"/>
  <c r="M2507"/>
  <c r="L2515"/>
  <c r="M2515"/>
  <c r="L2526"/>
  <c r="M2526"/>
  <c r="K2531"/>
  <c r="M2532"/>
  <c r="L2532"/>
  <c r="M2537"/>
  <c r="L2537"/>
  <c r="K2543"/>
  <c r="M2544"/>
  <c r="L2544"/>
  <c r="M2628"/>
  <c r="L2628"/>
  <c r="M2658"/>
  <c r="L2658"/>
  <c r="M2712"/>
  <c r="L2712"/>
  <c r="K2748"/>
  <c r="L2748" s="1"/>
  <c r="L2749"/>
  <c r="M2764"/>
  <c r="L2764"/>
  <c r="M2789"/>
  <c r="L2789"/>
  <c r="M2891"/>
  <c r="L2891"/>
  <c r="M752"/>
  <c r="L752"/>
  <c r="K893"/>
  <c r="M894"/>
  <c r="L894"/>
  <c r="M930"/>
  <c r="L930"/>
  <c r="K944"/>
  <c r="M945"/>
  <c r="L945"/>
  <c r="M2457"/>
  <c r="L2457"/>
  <c r="L2566"/>
  <c r="M2566"/>
  <c r="M2625"/>
  <c r="L2625"/>
  <c r="M2270"/>
  <c r="L2270"/>
  <c r="M1318"/>
  <c r="L1318"/>
  <c r="K128"/>
  <c r="M129"/>
  <c r="L129"/>
  <c r="K214"/>
  <c r="L215"/>
  <c r="M215"/>
  <c r="K284"/>
  <c r="M285"/>
  <c r="L285"/>
  <c r="L459"/>
  <c r="M459"/>
  <c r="M581"/>
  <c r="L581"/>
  <c r="K1081"/>
  <c r="M1082"/>
  <c r="L1082"/>
  <c r="K1953"/>
  <c r="L1954"/>
  <c r="M1954"/>
  <c r="H489"/>
  <c r="L489" s="1"/>
  <c r="L490"/>
  <c r="L660"/>
  <c r="M660"/>
  <c r="M1025"/>
  <c r="L1025"/>
  <c r="E1702" i="2"/>
  <c r="E1701" s="1"/>
  <c r="L1709" i="1"/>
  <c r="E401" i="2"/>
  <c r="L1910" i="1"/>
  <c r="K2224"/>
  <c r="L2225"/>
  <c r="H2302"/>
  <c r="L2302" s="1"/>
  <c r="L2303"/>
  <c r="H2695"/>
  <c r="L2696"/>
  <c r="M2768"/>
  <c r="L2768"/>
  <c r="H2857"/>
  <c r="L2857" s="1"/>
  <c r="L2858"/>
  <c r="E1422" i="2"/>
  <c r="E1421" s="1"/>
  <c r="I1421" s="1"/>
  <c r="L2930" i="1"/>
  <c r="K72"/>
  <c r="M73"/>
  <c r="L73"/>
  <c r="L244"/>
  <c r="M244"/>
  <c r="M397"/>
  <c r="L397"/>
  <c r="L409"/>
  <c r="M409"/>
  <c r="K413"/>
  <c r="L414"/>
  <c r="M414"/>
  <c r="L487"/>
  <c r="M487"/>
  <c r="M467"/>
  <c r="L467"/>
  <c r="K501"/>
  <c r="M502"/>
  <c r="L502"/>
  <c r="K511"/>
  <c r="L512"/>
  <c r="M512"/>
  <c r="M588"/>
  <c r="L588"/>
  <c r="L685"/>
  <c r="M685"/>
  <c r="M700"/>
  <c r="K758"/>
  <c r="K757" s="1"/>
  <c r="M759"/>
  <c r="L759"/>
  <c r="K764"/>
  <c r="L765"/>
  <c r="M765"/>
  <c r="L847"/>
  <c r="M847"/>
  <c r="M853"/>
  <c r="L853"/>
  <c r="L870"/>
  <c r="M870"/>
  <c r="L1180"/>
  <c r="M1180"/>
  <c r="L1205"/>
  <c r="M1205"/>
  <c r="K1211"/>
  <c r="L1212"/>
  <c r="M1212"/>
  <c r="L1217"/>
  <c r="M1217"/>
  <c r="M1222"/>
  <c r="L1222"/>
  <c r="L1228"/>
  <c r="M1228"/>
  <c r="K1232"/>
  <c r="L1233"/>
  <c r="M1233"/>
  <c r="M1239"/>
  <c r="L1239"/>
  <c r="M1288"/>
  <c r="L1288"/>
  <c r="L1327"/>
  <c r="M1327"/>
  <c r="K1576"/>
  <c r="M1577"/>
  <c r="L1577"/>
  <c r="H1617"/>
  <c r="L1617" s="1"/>
  <c r="L1618"/>
  <c r="H1636"/>
  <c r="L1636" s="1"/>
  <c r="L1637"/>
  <c r="I1726"/>
  <c r="M1726" s="1"/>
  <c r="M1727"/>
  <c r="K1812"/>
  <c r="L1813"/>
  <c r="M1834"/>
  <c r="L1834"/>
  <c r="M1860"/>
  <c r="L1860"/>
  <c r="L1895"/>
  <c r="M1895"/>
  <c r="L2014"/>
  <c r="M2014"/>
  <c r="L2019"/>
  <c r="M2019"/>
  <c r="M2149"/>
  <c r="L2149"/>
  <c r="L2156"/>
  <c r="M2156"/>
  <c r="M2161"/>
  <c r="L2161"/>
  <c r="L2166"/>
  <c r="M2166"/>
  <c r="L2171"/>
  <c r="M2171"/>
  <c r="L2176"/>
  <c r="M2176"/>
  <c r="M2181"/>
  <c r="L2181"/>
  <c r="K2220"/>
  <c r="L2221"/>
  <c r="M2221"/>
  <c r="L2216"/>
  <c r="M2216"/>
  <c r="L2242"/>
  <c r="M2242"/>
  <c r="K2247"/>
  <c r="M2248"/>
  <c r="L2248"/>
  <c r="L2272"/>
  <c r="M2272"/>
  <c r="K2489"/>
  <c r="M2490"/>
  <c r="L2490"/>
  <c r="L2550"/>
  <c r="M2550"/>
  <c r="L2589"/>
  <c r="M2589"/>
  <c r="L2697"/>
  <c r="M2697"/>
  <c r="L2718"/>
  <c r="M2718"/>
  <c r="M2734"/>
  <c r="L2734"/>
  <c r="L2740"/>
  <c r="M2740"/>
  <c r="M2807"/>
  <c r="L2807"/>
  <c r="K2846"/>
  <c r="L2847"/>
  <c r="M2847"/>
  <c r="M182"/>
  <c r="L182"/>
  <c r="L911"/>
  <c r="M911"/>
  <c r="L1321"/>
  <c r="M1321"/>
  <c r="M1864"/>
  <c r="L1864"/>
  <c r="M2138"/>
  <c r="L2138"/>
  <c r="L2392"/>
  <c r="M2392"/>
  <c r="K352"/>
  <c r="K351" s="1"/>
  <c r="M353"/>
  <c r="L353"/>
  <c r="L557"/>
  <c r="M557"/>
  <c r="M879"/>
  <c r="L879"/>
  <c r="L1943"/>
  <c r="M1943"/>
  <c r="K2192"/>
  <c r="M2193"/>
  <c r="L2193"/>
  <c r="L168"/>
  <c r="M168"/>
  <c r="L218"/>
  <c r="M218"/>
  <c r="K287"/>
  <c r="L287" s="1"/>
  <c r="L288"/>
  <c r="M450"/>
  <c r="L1010"/>
  <c r="M1010"/>
  <c r="L1072"/>
  <c r="M1072"/>
  <c r="E1501" i="2"/>
  <c r="E1500" s="1"/>
  <c r="L385" i="1"/>
  <c r="H485"/>
  <c r="L485" s="1"/>
  <c r="L486"/>
  <c r="K573"/>
  <c r="L574"/>
  <c r="K1034"/>
  <c r="L1035"/>
  <c r="M1035"/>
  <c r="E1688" i="2"/>
  <c r="E1686" s="1"/>
  <c r="L1699" i="1"/>
  <c r="L1821"/>
  <c r="M1821"/>
  <c r="H1845"/>
  <c r="L1846"/>
  <c r="E1177" i="2"/>
  <c r="E1176" s="1"/>
  <c r="L2299" i="1"/>
  <c r="K2368"/>
  <c r="M2369"/>
  <c r="L2369"/>
  <c r="E2065" i="2"/>
  <c r="E2064" s="1"/>
  <c r="L2683" i="1"/>
  <c r="H2820"/>
  <c r="L2820" s="1"/>
  <c r="L2821"/>
  <c r="F1380" i="2"/>
  <c r="F1367" s="1"/>
  <c r="G1137"/>
  <c r="L1092" i="1"/>
  <c r="F1962" i="2"/>
  <c r="G339"/>
  <c r="F1490"/>
  <c r="L403" i="1"/>
  <c r="L620"/>
  <c r="L1125"/>
  <c r="H2670"/>
  <c r="H2669" s="1"/>
  <c r="H2668" s="1"/>
  <c r="L806"/>
  <c r="L2354"/>
  <c r="G1173" i="2"/>
  <c r="H308"/>
  <c r="F103"/>
  <c r="F11" s="1"/>
  <c r="L56" i="1"/>
  <c r="M56"/>
  <c r="K83"/>
  <c r="L83" s="1"/>
  <c r="L84"/>
  <c r="L142"/>
  <c r="M142"/>
  <c r="K436"/>
  <c r="L436" s="1"/>
  <c r="L437"/>
  <c r="K723"/>
  <c r="L724"/>
  <c r="M724"/>
  <c r="L1103"/>
  <c r="M1103"/>
  <c r="M1133"/>
  <c r="M1270"/>
  <c r="L1270"/>
  <c r="M1453"/>
  <c r="L1453"/>
  <c r="K1585"/>
  <c r="L1585" s="1"/>
  <c r="L1586"/>
  <c r="M1880"/>
  <c r="M1912"/>
  <c r="L1968"/>
  <c r="M1968"/>
  <c r="L2042"/>
  <c r="M2042"/>
  <c r="L2472"/>
  <c r="M2472"/>
  <c r="L2684"/>
  <c r="M2684"/>
  <c r="L2877"/>
  <c r="M2877"/>
  <c r="M2918"/>
  <c r="L2918"/>
  <c r="L904"/>
  <c r="M904"/>
  <c r="L2987"/>
  <c r="M2987"/>
  <c r="L132"/>
  <c r="M132"/>
  <c r="K229"/>
  <c r="M230"/>
  <c r="L230"/>
  <c r="M248"/>
  <c r="K666"/>
  <c r="M667"/>
  <c r="L667"/>
  <c r="M785"/>
  <c r="L785"/>
  <c r="M875"/>
  <c r="M1344"/>
  <c r="L1344"/>
  <c r="M1362"/>
  <c r="L1362"/>
  <c r="L1380"/>
  <c r="M1380"/>
  <c r="M1398"/>
  <c r="L1398"/>
  <c r="L1422"/>
  <c r="M1422"/>
  <c r="M2278"/>
  <c r="L2278"/>
  <c r="K2673"/>
  <c r="M2674"/>
  <c r="L2674"/>
  <c r="M2857"/>
  <c r="M2938"/>
  <c r="L2938"/>
  <c r="K333"/>
  <c r="M334"/>
  <c r="L334"/>
  <c r="M1877"/>
  <c r="L2383"/>
  <c r="M2383"/>
  <c r="L2420"/>
  <c r="M2420"/>
  <c r="K45"/>
  <c r="L45" s="1"/>
  <c r="L46"/>
  <c r="M452"/>
  <c r="L452"/>
  <c r="M1086"/>
  <c r="L1086"/>
  <c r="E1069" i="2"/>
  <c r="I1069" s="1"/>
  <c r="L69" i="1"/>
  <c r="E177" i="2"/>
  <c r="L1076" i="1"/>
  <c r="H1695"/>
  <c r="L1695" s="1"/>
  <c r="L1696"/>
  <c r="K1936"/>
  <c r="M1937"/>
  <c r="L1937"/>
  <c r="H2276"/>
  <c r="L2276" s="1"/>
  <c r="L2277"/>
  <c r="M149"/>
  <c r="L149"/>
  <c r="M267"/>
  <c r="K342"/>
  <c r="M343"/>
  <c r="L343"/>
  <c r="K433"/>
  <c r="M434"/>
  <c r="L434"/>
  <c r="L1111"/>
  <c r="M1111"/>
  <c r="M1193"/>
  <c r="L1193"/>
  <c r="M1451"/>
  <c r="M1474"/>
  <c r="L1474"/>
  <c r="L1510"/>
  <c r="M1510"/>
  <c r="K1582"/>
  <c r="L1583"/>
  <c r="M1583"/>
  <c r="M1921"/>
  <c r="L1921"/>
  <c r="K1964"/>
  <c r="M1965"/>
  <c r="L1965"/>
  <c r="L2034"/>
  <c r="M2034"/>
  <c r="K2578"/>
  <c r="L2579"/>
  <c r="M2579"/>
  <c r="L2822"/>
  <c r="M2822"/>
  <c r="L2880"/>
  <c r="M2880"/>
  <c r="L744"/>
  <c r="M744"/>
  <c r="L939"/>
  <c r="M939"/>
  <c r="L1007"/>
  <c r="M1007"/>
  <c r="M2564"/>
  <c r="L2564"/>
  <c r="M2976"/>
  <c r="L2976"/>
  <c r="M1466"/>
  <c r="L1466"/>
  <c r="L2268"/>
  <c r="M2268"/>
  <c r="L979"/>
  <c r="M979"/>
  <c r="L2375"/>
  <c r="M2375"/>
  <c r="M772"/>
  <c r="L772"/>
  <c r="H2548"/>
  <c r="L2549"/>
  <c r="L192"/>
  <c r="M192"/>
  <c r="M199"/>
  <c r="L199"/>
  <c r="M271"/>
  <c r="L295"/>
  <c r="M295"/>
  <c r="L302"/>
  <c r="M302"/>
  <c r="K307"/>
  <c r="L308"/>
  <c r="M308"/>
  <c r="L314"/>
  <c r="M314"/>
  <c r="M384"/>
  <c r="M388"/>
  <c r="L388"/>
  <c r="K523"/>
  <c r="L524"/>
  <c r="M524"/>
  <c r="K534"/>
  <c r="L535"/>
  <c r="M535"/>
  <c r="K625"/>
  <c r="L626"/>
  <c r="M626"/>
  <c r="K648"/>
  <c r="M649"/>
  <c r="L649"/>
  <c r="M721"/>
  <c r="L823"/>
  <c r="M823"/>
  <c r="L829"/>
  <c r="M829"/>
  <c r="K988"/>
  <c r="M989"/>
  <c r="L989"/>
  <c r="M1140"/>
  <c r="L1140"/>
  <c r="M1148"/>
  <c r="L1148"/>
  <c r="L1153"/>
  <c r="M1153"/>
  <c r="L1170"/>
  <c r="M1170"/>
  <c r="K1258"/>
  <c r="M1259"/>
  <c r="L1259"/>
  <c r="I1649"/>
  <c r="M1650"/>
  <c r="K1732"/>
  <c r="L1733"/>
  <c r="M1733"/>
  <c r="M1851"/>
  <c r="L1976"/>
  <c r="M1976"/>
  <c r="M1981"/>
  <c r="L1981"/>
  <c r="L1986"/>
  <c r="M1986"/>
  <c r="L1991"/>
  <c r="M1991"/>
  <c r="L1996"/>
  <c r="M1996"/>
  <c r="K2000"/>
  <c r="M2001"/>
  <c r="L2001"/>
  <c r="L2006"/>
  <c r="M2006"/>
  <c r="M2044"/>
  <c r="M2049"/>
  <c r="L2049"/>
  <c r="L2054"/>
  <c r="M2054"/>
  <c r="L2059"/>
  <c r="M2059"/>
  <c r="L2064"/>
  <c r="M2064"/>
  <c r="M2069"/>
  <c r="L2069"/>
  <c r="M2074"/>
  <c r="L2074"/>
  <c r="L2079"/>
  <c r="M2079"/>
  <c r="L2084"/>
  <c r="M2084"/>
  <c r="M2089"/>
  <c r="L2089"/>
  <c r="L2094"/>
  <c r="M2094"/>
  <c r="L2099"/>
  <c r="M2099"/>
  <c r="L2104"/>
  <c r="M2104"/>
  <c r="M2109"/>
  <c r="L2109"/>
  <c r="H610" i="2"/>
  <c r="H609" s="1"/>
  <c r="H608" s="1"/>
  <c r="L2115" i="1"/>
  <c r="M2115"/>
  <c r="M2121"/>
  <c r="L2121"/>
  <c r="L2131"/>
  <c r="M2131"/>
  <c r="K2188"/>
  <c r="M2189"/>
  <c r="L2189"/>
  <c r="M2302"/>
  <c r="M2322"/>
  <c r="L2322"/>
  <c r="M2333"/>
  <c r="L2333"/>
  <c r="M2350"/>
  <c r="L2350"/>
  <c r="L2372"/>
  <c r="M2372"/>
  <c r="M2386"/>
  <c r="L2386"/>
  <c r="M2497"/>
  <c r="L2497"/>
  <c r="K2502"/>
  <c r="L2503"/>
  <c r="M2503"/>
  <c r="K2510"/>
  <c r="L2511"/>
  <c r="M2511"/>
  <c r="K2517"/>
  <c r="M2518"/>
  <c r="L2518"/>
  <c r="M2528"/>
  <c r="L2528"/>
  <c r="L2535"/>
  <c r="M2535"/>
  <c r="K2540"/>
  <c r="M2541"/>
  <c r="L2541"/>
  <c r="L2656"/>
  <c r="M2656"/>
  <c r="M2708"/>
  <c r="L2708"/>
  <c r="L2766"/>
  <c r="M2766"/>
  <c r="K2774"/>
  <c r="L2775"/>
  <c r="K2785"/>
  <c r="M2786"/>
  <c r="L2786"/>
  <c r="L2889"/>
  <c r="M2889"/>
  <c r="M2920"/>
  <c r="M789"/>
  <c r="L789"/>
  <c r="M863"/>
  <c r="L863"/>
  <c r="K907"/>
  <c r="L908"/>
  <c r="M908"/>
  <c r="K2388"/>
  <c r="L2389"/>
  <c r="M2389"/>
  <c r="M2455"/>
  <c r="M2568"/>
  <c r="L2568"/>
  <c r="M37"/>
  <c r="L37"/>
  <c r="M553"/>
  <c r="L553"/>
  <c r="K638"/>
  <c r="L639"/>
  <c r="M639"/>
  <c r="M2660"/>
  <c r="K1527"/>
  <c r="M1528"/>
  <c r="L1528"/>
  <c r="L1285"/>
  <c r="M1285"/>
  <c r="K220"/>
  <c r="L221"/>
  <c r="M441"/>
  <c r="K984"/>
  <c r="M985"/>
  <c r="L985"/>
  <c r="K1045"/>
  <c r="L1046"/>
  <c r="M1046"/>
  <c r="K1950"/>
  <c r="L1951"/>
  <c r="M1951"/>
  <c r="H59"/>
  <c r="L59" s="1"/>
  <c r="L60"/>
  <c r="H248"/>
  <c r="L248" s="1"/>
  <c r="L249"/>
  <c r="H450"/>
  <c r="L450" s="1"/>
  <c r="L451"/>
  <c r="L527"/>
  <c r="M527"/>
  <c r="M1039"/>
  <c r="L1039"/>
  <c r="E310" i="2"/>
  <c r="E309" s="1"/>
  <c r="L1139" i="1"/>
  <c r="K1545"/>
  <c r="L1546"/>
  <c r="H2011"/>
  <c r="L2011" s="1"/>
  <c r="L2012"/>
  <c r="E1891" i="2"/>
  <c r="E1890" s="1"/>
  <c r="L2553" i="1"/>
  <c r="K2575"/>
  <c r="L2576"/>
  <c r="E1438" i="2"/>
  <c r="E1437" s="1"/>
  <c r="L2657" i="1"/>
  <c r="E1876" i="2"/>
  <c r="E1875" s="1"/>
  <c r="I1875" s="1"/>
  <c r="L2806" i="1"/>
  <c r="H2463"/>
  <c r="L2464"/>
  <c r="H796" i="2"/>
  <c r="J796" s="1"/>
  <c r="J797"/>
  <c r="L738" i="1"/>
  <c r="J2462"/>
  <c r="L2634"/>
  <c r="L596"/>
  <c r="L2356"/>
  <c r="G299" i="2"/>
  <c r="H274"/>
  <c r="H1938"/>
  <c r="H1930" s="1"/>
  <c r="H1928" s="1"/>
  <c r="H617"/>
  <c r="K1634" i="1"/>
  <c r="M67"/>
  <c r="K90"/>
  <c r="L91"/>
  <c r="M91"/>
  <c r="L152"/>
  <c r="M152"/>
  <c r="L176"/>
  <c r="M176"/>
  <c r="M207"/>
  <c r="L207"/>
  <c r="L269"/>
  <c r="M269"/>
  <c r="M330"/>
  <c r="L330"/>
  <c r="K477"/>
  <c r="L478"/>
  <c r="L633"/>
  <c r="M633"/>
  <c r="L676"/>
  <c r="M676"/>
  <c r="L719"/>
  <c r="M719"/>
  <c r="H752" i="2"/>
  <c r="H751" s="1"/>
  <c r="H748" s="1"/>
  <c r="L877" i="1"/>
  <c r="M877"/>
  <c r="L1282"/>
  <c r="M1282"/>
  <c r="M1469"/>
  <c r="L1469"/>
  <c r="I1679"/>
  <c r="M1679" s="1"/>
  <c r="M1680"/>
  <c r="I1713"/>
  <c r="M1714"/>
  <c r="L1847"/>
  <c r="M1847"/>
  <c r="K1886"/>
  <c r="L1887"/>
  <c r="M1887"/>
  <c r="K1923"/>
  <c r="L1924"/>
  <c r="M1924"/>
  <c r="L1947"/>
  <c r="M1947"/>
  <c r="M2430"/>
  <c r="M2465"/>
  <c r="L2465"/>
  <c r="M2557"/>
  <c r="L2557"/>
  <c r="M2873"/>
  <c r="K145"/>
  <c r="L146"/>
  <c r="M146"/>
  <c r="L729"/>
  <c r="M729"/>
  <c r="L1022"/>
  <c r="M1022"/>
  <c r="L1097"/>
  <c r="M1097"/>
  <c r="M1276"/>
  <c r="L1276"/>
  <c r="L1312"/>
  <c r="M1312"/>
  <c r="K356"/>
  <c r="M357"/>
  <c r="L357"/>
  <c r="K2782"/>
  <c r="L2783"/>
  <c r="M2783"/>
  <c r="K157"/>
  <c r="L157" s="1"/>
  <c r="L158"/>
  <c r="M59"/>
  <c r="L119"/>
  <c r="M119"/>
  <c r="K481"/>
  <c r="L482"/>
  <c r="L645"/>
  <c r="M645"/>
  <c r="L696"/>
  <c r="M696"/>
  <c r="L709"/>
  <c r="M709"/>
  <c r="M1339"/>
  <c r="M1356"/>
  <c r="L1356"/>
  <c r="L1368"/>
  <c r="M1368"/>
  <c r="M1386"/>
  <c r="L1386"/>
  <c r="L1404"/>
  <c r="M1404"/>
  <c r="L1416"/>
  <c r="M1416"/>
  <c r="L1434"/>
  <c r="M1434"/>
  <c r="L1444"/>
  <c r="M1444"/>
  <c r="L1493"/>
  <c r="M1493"/>
  <c r="L1502"/>
  <c r="M1502"/>
  <c r="L1522"/>
  <c r="M1522"/>
  <c r="I1642"/>
  <c r="M1642" s="1"/>
  <c r="M1643"/>
  <c r="H1726"/>
  <c r="L1726" s="1"/>
  <c r="L1727"/>
  <c r="M1838"/>
  <c r="M1909"/>
  <c r="L2602"/>
  <c r="M2602"/>
  <c r="M2861"/>
  <c r="L2861"/>
  <c r="M2960"/>
  <c r="L2960"/>
  <c r="M902"/>
  <c r="L902"/>
  <c r="L970"/>
  <c r="M970"/>
  <c r="M1330"/>
  <c r="L1330"/>
  <c r="K2398"/>
  <c r="L2399"/>
  <c r="M2399"/>
  <c r="K2840"/>
  <c r="M2841"/>
  <c r="L2841"/>
  <c r="E1562" i="2"/>
  <c r="I1562" s="1"/>
  <c r="L272" i="1"/>
  <c r="K914"/>
  <c r="K913" s="1"/>
  <c r="M915"/>
  <c r="L915"/>
  <c r="H2029"/>
  <c r="L2029" s="1"/>
  <c r="L2030"/>
  <c r="E1361" i="2"/>
  <c r="E1360" s="1"/>
  <c r="L2332" i="1"/>
  <c r="L293"/>
  <c r="M293"/>
  <c r="K336"/>
  <c r="L337"/>
  <c r="M337"/>
  <c r="K423"/>
  <c r="L424"/>
  <c r="M424"/>
  <c r="M601"/>
  <c r="L601"/>
  <c r="L679"/>
  <c r="M679"/>
  <c r="L1105"/>
  <c r="M1105"/>
  <c r="L1602"/>
  <c r="M1602"/>
  <c r="M1845"/>
  <c r="L1845"/>
  <c r="K1883"/>
  <c r="M1884"/>
  <c r="L1884"/>
  <c r="L1928"/>
  <c r="M1928"/>
  <c r="L1971"/>
  <c r="M1971"/>
  <c r="L2039"/>
  <c r="M2039"/>
  <c r="M2469"/>
  <c r="L2469"/>
  <c r="M2682"/>
  <c r="M928"/>
  <c r="K1065"/>
  <c r="L1066"/>
  <c r="M1066"/>
  <c r="L1294"/>
  <c r="M1294"/>
  <c r="M2304"/>
  <c r="M2985"/>
  <c r="L2985"/>
  <c r="M362"/>
  <c r="L362"/>
  <c r="M2559"/>
  <c r="I1669"/>
  <c r="M1669" s="1"/>
  <c r="M1670"/>
  <c r="H65"/>
  <c r="L65" s="1"/>
  <c r="L66"/>
  <c r="M658"/>
  <c r="L658"/>
  <c r="E1086" i="2"/>
  <c r="E1085" s="1"/>
  <c r="L1833" i="1"/>
  <c r="H2660"/>
  <c r="L2660" s="1"/>
  <c r="L2662"/>
  <c r="K1667"/>
  <c r="M65"/>
  <c r="K75"/>
  <c r="L76"/>
  <c r="M76"/>
  <c r="M400"/>
  <c r="L400"/>
  <c r="L411"/>
  <c r="M411"/>
  <c r="K515"/>
  <c r="L516"/>
  <c r="M516"/>
  <c r="K570"/>
  <c r="L571"/>
  <c r="M571"/>
  <c r="L683"/>
  <c r="M683"/>
  <c r="M702"/>
  <c r="L702"/>
  <c r="K761"/>
  <c r="L762"/>
  <c r="M762"/>
  <c r="L794"/>
  <c r="M794"/>
  <c r="K837"/>
  <c r="M838"/>
  <c r="M845"/>
  <c r="L845"/>
  <c r="L850"/>
  <c r="M850"/>
  <c r="M868"/>
  <c r="L872"/>
  <c r="M872"/>
  <c r="M1062"/>
  <c r="L1062"/>
  <c r="K1127"/>
  <c r="M1128"/>
  <c r="L1128"/>
  <c r="L1176"/>
  <c r="M1176"/>
  <c r="K1183"/>
  <c r="L1184"/>
  <c r="M1184"/>
  <c r="K1207"/>
  <c r="L1208"/>
  <c r="M1208"/>
  <c r="L1215"/>
  <c r="M1215"/>
  <c r="M1220"/>
  <c r="L1220"/>
  <c r="L1225"/>
  <c r="M1225"/>
  <c r="M1230"/>
  <c r="L1230"/>
  <c r="L1236"/>
  <c r="M1236"/>
  <c r="M1291"/>
  <c r="L1291"/>
  <c r="L1315"/>
  <c r="M1315"/>
  <c r="L1336"/>
  <c r="M1336"/>
  <c r="K1541"/>
  <c r="L1541" s="1"/>
  <c r="L1542"/>
  <c r="K1573"/>
  <c r="K1572" s="1"/>
  <c r="L1574"/>
  <c r="M1574"/>
  <c r="I1639"/>
  <c r="M1639" s="1"/>
  <c r="M1640"/>
  <c r="H1649"/>
  <c r="L1650"/>
  <c r="L1742"/>
  <c r="M1742"/>
  <c r="M1744"/>
  <c r="L1744"/>
  <c r="M1808"/>
  <c r="L1808"/>
  <c r="M1832"/>
  <c r="L1836"/>
  <c r="M1836"/>
  <c r="M1857"/>
  <c r="M1867"/>
  <c r="L1867"/>
  <c r="M1897"/>
  <c r="L1897"/>
  <c r="M1905"/>
  <c r="L1905"/>
  <c r="M2011"/>
  <c r="L2016"/>
  <c r="M2016"/>
  <c r="M2153"/>
  <c r="L2153"/>
  <c r="L2158"/>
  <c r="M2158"/>
  <c r="L2163"/>
  <c r="M2163"/>
  <c r="L2168"/>
  <c r="M2168"/>
  <c r="M2173"/>
  <c r="L2173"/>
  <c r="L2178"/>
  <c r="M2178"/>
  <c r="L2183"/>
  <c r="M2183"/>
  <c r="K2227"/>
  <c r="L2227" s="1"/>
  <c r="L2228"/>
  <c r="M2240"/>
  <c r="M2244"/>
  <c r="L2244"/>
  <c r="M2265"/>
  <c r="K2412"/>
  <c r="L2413"/>
  <c r="M2413"/>
  <c r="M2548"/>
  <c r="L2548"/>
  <c r="M2695"/>
  <c r="L2695"/>
  <c r="M2716"/>
  <c r="K2723"/>
  <c r="M2724"/>
  <c r="L2724"/>
  <c r="M2732"/>
  <c r="M2737"/>
  <c r="L2737"/>
  <c r="M2742"/>
  <c r="L2742"/>
  <c r="M2805"/>
  <c r="M2811"/>
  <c r="L2811"/>
  <c r="L2852"/>
  <c r="M2852"/>
  <c r="L493"/>
  <c r="M493"/>
  <c r="K898"/>
  <c r="M899"/>
  <c r="L899"/>
  <c r="M1306"/>
  <c r="L1306"/>
  <c r="L1481"/>
  <c r="M1481"/>
  <c r="I1717"/>
  <c r="M1718"/>
  <c r="M1849"/>
  <c r="L1849"/>
  <c r="L1875"/>
  <c r="M1875"/>
  <c r="L2280"/>
  <c r="M2280"/>
  <c r="L1455"/>
  <c r="M1455"/>
  <c r="M562"/>
  <c r="L562"/>
  <c r="M444"/>
  <c r="L444"/>
  <c r="L1004"/>
  <c r="M1004"/>
  <c r="M1049"/>
  <c r="L1049"/>
  <c r="L2284"/>
  <c r="M2284"/>
  <c r="H50"/>
  <c r="L51"/>
  <c r="H446"/>
  <c r="L446" s="1"/>
  <c r="L448"/>
  <c r="M662"/>
  <c r="M1001"/>
  <c r="L1001"/>
  <c r="E284" i="2"/>
  <c r="L1030" i="1"/>
  <c r="L1094"/>
  <c r="M1094"/>
  <c r="E305" i="2"/>
  <c r="E304" s="1"/>
  <c r="I304" s="1"/>
  <c r="L1134" i="1"/>
  <c r="L1768"/>
  <c r="M1768"/>
  <c r="H1880"/>
  <c r="H1879" s="1"/>
  <c r="L1882"/>
  <c r="K1957"/>
  <c r="M1958"/>
  <c r="L1958"/>
  <c r="K2203"/>
  <c r="M2204"/>
  <c r="L2204"/>
  <c r="E1192" i="2"/>
  <c r="L2258" i="1"/>
  <c r="L2401"/>
  <c r="M2401"/>
  <c r="H2455"/>
  <c r="H2454" s="1"/>
  <c r="H2453" s="1"/>
  <c r="L2456"/>
  <c r="H2642"/>
  <c r="L2642" s="1"/>
  <c r="L2643"/>
  <c r="H2732"/>
  <c r="L2732" s="1"/>
  <c r="L2733"/>
  <c r="H2974"/>
  <c r="L2974" s="1"/>
  <c r="L2975"/>
  <c r="H1024" i="2"/>
  <c r="J1024" s="1"/>
  <c r="J1025"/>
  <c r="L1090" i="1"/>
  <c r="F299" i="2"/>
  <c r="L2146" i="1"/>
  <c r="L2587"/>
  <c r="J44" i="3"/>
  <c r="I86"/>
  <c r="L170" i="1"/>
  <c r="F1189" i="2"/>
  <c r="H2133"/>
  <c r="H991"/>
  <c r="H987" s="1"/>
  <c r="I1103"/>
  <c r="L61" i="1"/>
  <c r="M61"/>
  <c r="M346"/>
  <c r="L346"/>
  <c r="K430"/>
  <c r="L431"/>
  <c r="M715"/>
  <c r="K1031"/>
  <c r="L1032"/>
  <c r="M1032"/>
  <c r="M1114"/>
  <c r="L1114"/>
  <c r="M1508"/>
  <c r="K1516"/>
  <c r="L1517"/>
  <c r="M1517"/>
  <c r="K1591"/>
  <c r="L1592"/>
  <c r="M1592"/>
  <c r="I1703"/>
  <c r="M1703" s="1"/>
  <c r="M1704"/>
  <c r="L1919"/>
  <c r="M1919"/>
  <c r="M2037"/>
  <c r="L2037"/>
  <c r="M2257"/>
  <c r="L2257"/>
  <c r="L2300"/>
  <c r="M2300"/>
  <c r="M2820"/>
  <c r="L2933"/>
  <c r="M2933"/>
  <c r="L63"/>
  <c r="M63"/>
  <c r="M861"/>
  <c r="L861"/>
  <c r="M457"/>
  <c r="K1078"/>
  <c r="L1079"/>
  <c r="K95"/>
  <c r="M96"/>
  <c r="L96"/>
  <c r="K689"/>
  <c r="M690"/>
  <c r="L690"/>
  <c r="M705"/>
  <c r="K778"/>
  <c r="M779"/>
  <c r="L779"/>
  <c r="M1055"/>
  <c r="L1055"/>
  <c r="M1350"/>
  <c r="L1350"/>
  <c r="M1374"/>
  <c r="L1374"/>
  <c r="L1392"/>
  <c r="M1392"/>
  <c r="L1428"/>
  <c r="M1428"/>
  <c r="L1534"/>
  <c r="M1534"/>
  <c r="L1538"/>
  <c r="M1538"/>
  <c r="I1672"/>
  <c r="M1672" s="1"/>
  <c r="M1673"/>
  <c r="M1746"/>
  <c r="L1774"/>
  <c r="M1774"/>
  <c r="M1785"/>
  <c r="L1785"/>
  <c r="K2023"/>
  <c r="L2024"/>
  <c r="M2024"/>
  <c r="L2609"/>
  <c r="M2609"/>
  <c r="M2644"/>
  <c r="L2644"/>
  <c r="L2832"/>
  <c r="M2832"/>
  <c r="K2964"/>
  <c r="L2965"/>
  <c r="M2965"/>
  <c r="M605"/>
  <c r="L605"/>
  <c r="M1159"/>
  <c r="L1159"/>
  <c r="L1273"/>
  <c r="M1273"/>
  <c r="L1309"/>
  <c r="M1309"/>
  <c r="M1441"/>
  <c r="L1441"/>
  <c r="L2212"/>
  <c r="M2212"/>
  <c r="M2449"/>
  <c r="L2312"/>
  <c r="M2312"/>
  <c r="K2196"/>
  <c r="M2197"/>
  <c r="L2197"/>
  <c r="K134"/>
  <c r="L135"/>
  <c r="M135"/>
  <c r="H457"/>
  <c r="L457" s="1"/>
  <c r="L458"/>
  <c r="M664"/>
  <c r="E750" i="2"/>
  <c r="E749" s="1"/>
  <c r="I749" s="1"/>
  <c r="L876" i="1"/>
  <c r="L1771"/>
  <c r="M1771"/>
  <c r="M1903"/>
  <c r="H2555"/>
  <c r="L2555" s="1"/>
  <c r="L2556"/>
  <c r="K86"/>
  <c r="L86" s="1"/>
  <c r="L87"/>
  <c r="M108"/>
  <c r="L108"/>
  <c r="L173"/>
  <c r="M173"/>
  <c r="L178"/>
  <c r="M178"/>
  <c r="M327"/>
  <c r="L327"/>
  <c r="K348"/>
  <c r="M349"/>
  <c r="L349"/>
  <c r="K427"/>
  <c r="M428"/>
  <c r="L428"/>
  <c r="L674"/>
  <c r="M674"/>
  <c r="M717"/>
  <c r="L717"/>
  <c r="K1027"/>
  <c r="M1028"/>
  <c r="K1099"/>
  <c r="L1099" s="1"/>
  <c r="L1100"/>
  <c r="L1135"/>
  <c r="M1135"/>
  <c r="L1267"/>
  <c r="M1267"/>
  <c r="M1462"/>
  <c r="L1462"/>
  <c r="L1514"/>
  <c r="M1514"/>
  <c r="L1562"/>
  <c r="M1562"/>
  <c r="L1595"/>
  <c r="M1595"/>
  <c r="H1642"/>
  <c r="L1642" s="1"/>
  <c r="L1643"/>
  <c r="H1672"/>
  <c r="L1672" s="1"/>
  <c r="L1673"/>
  <c r="K1939"/>
  <c r="L1940"/>
  <c r="M1940"/>
  <c r="M2029"/>
  <c r="L2259"/>
  <c r="M2259"/>
  <c r="M2298"/>
  <c r="K2409"/>
  <c r="M2410"/>
  <c r="L2410"/>
  <c r="M2432"/>
  <c r="L2432"/>
  <c r="K2462"/>
  <c r="L2463"/>
  <c r="M2463"/>
  <c r="K2478"/>
  <c r="L2479"/>
  <c r="M2479"/>
  <c r="M2555"/>
  <c r="M2686"/>
  <c r="L2686"/>
  <c r="M2875"/>
  <c r="L2875"/>
  <c r="M2916"/>
  <c r="M2931"/>
  <c r="L2931"/>
  <c r="L727"/>
  <c r="M727"/>
  <c r="L1016"/>
  <c r="M1016"/>
  <c r="L1303"/>
  <c r="M1303"/>
  <c r="M2720"/>
  <c r="L2720"/>
  <c r="L2944"/>
  <c r="M2944"/>
  <c r="M1144"/>
  <c r="L1144"/>
  <c r="M161"/>
  <c r="L161"/>
  <c r="M454"/>
  <c r="E496" i="2"/>
  <c r="E495" s="1"/>
  <c r="L2022" i="1"/>
  <c r="M2314"/>
  <c r="L2314"/>
  <c r="H2768"/>
  <c r="L2769"/>
  <c r="L52"/>
  <c r="M52"/>
  <c r="K98"/>
  <c r="L99"/>
  <c r="M99"/>
  <c r="M242"/>
  <c r="M246"/>
  <c r="L246"/>
  <c r="M485"/>
  <c r="M489"/>
  <c r="L506"/>
  <c r="M506"/>
  <c r="L590"/>
  <c r="M590"/>
  <c r="K616"/>
  <c r="M617"/>
  <c r="L617"/>
  <c r="L1245"/>
  <c r="M1245"/>
  <c r="L116"/>
  <c r="M116"/>
  <c r="K251"/>
  <c r="L252"/>
  <c r="K261"/>
  <c r="L262"/>
  <c r="K641"/>
  <c r="L642"/>
  <c r="M642"/>
  <c r="M693"/>
  <c r="L693"/>
  <c r="L707"/>
  <c r="M707"/>
  <c r="L711"/>
  <c r="M711"/>
  <c r="K781"/>
  <c r="M782"/>
  <c r="L782"/>
  <c r="L1341"/>
  <c r="M1341"/>
  <c r="L1347"/>
  <c r="M1347"/>
  <c r="L1353"/>
  <c r="M1353"/>
  <c r="L1365"/>
  <c r="M1365"/>
  <c r="L1371"/>
  <c r="M1371"/>
  <c r="L1377"/>
  <c r="M1377"/>
  <c r="L1383"/>
  <c r="M1383"/>
  <c r="L1389"/>
  <c r="M1389"/>
  <c r="L1395"/>
  <c r="M1395"/>
  <c r="L1401"/>
  <c r="M1401"/>
  <c r="L1407"/>
  <c r="M1407"/>
  <c r="M1413"/>
  <c r="L1413"/>
  <c r="M1419"/>
  <c r="L1419"/>
  <c r="M1425"/>
  <c r="L1425"/>
  <c r="M1438"/>
  <c r="L1438"/>
  <c r="L1447"/>
  <c r="M1447"/>
  <c r="L1484"/>
  <c r="M1484"/>
  <c r="L1496"/>
  <c r="M1496"/>
  <c r="L1536"/>
  <c r="M1536"/>
  <c r="K1748"/>
  <c r="L1749"/>
  <c r="M1749"/>
  <c r="M1757"/>
  <c r="L1757"/>
  <c r="K1761"/>
  <c r="L1762"/>
  <c r="K1776"/>
  <c r="M1777"/>
  <c r="L1777"/>
  <c r="M1782"/>
  <c r="L1782"/>
  <c r="M1842"/>
  <c r="L1842"/>
  <c r="M2021"/>
  <c r="L2021"/>
  <c r="L2027"/>
  <c r="M2027"/>
  <c r="M2276"/>
  <c r="L2288"/>
  <c r="M2288"/>
  <c r="L2407"/>
  <c r="M2407"/>
  <c r="L2443"/>
  <c r="M2443"/>
  <c r="K2484"/>
  <c r="M2485"/>
  <c r="L2485"/>
  <c r="M2552"/>
  <c r="K2593"/>
  <c r="M2594"/>
  <c r="L2594"/>
  <c r="M2599"/>
  <c r="L2599"/>
  <c r="K2605"/>
  <c r="L2606"/>
  <c r="M2606"/>
  <c r="M2612"/>
  <c r="L2612"/>
  <c r="M2642"/>
  <c r="L2646"/>
  <c r="M2646"/>
  <c r="M2670"/>
  <c r="K2677"/>
  <c r="M2678"/>
  <c r="L2678"/>
  <c r="M2699"/>
  <c r="M2837"/>
  <c r="L2837"/>
  <c r="L2859"/>
  <c r="M2859"/>
  <c r="K2863"/>
  <c r="L2864"/>
  <c r="M2864"/>
  <c r="M2929"/>
  <c r="L2940"/>
  <c r="M2940"/>
  <c r="M2956"/>
  <c r="L2956"/>
  <c r="L2962"/>
  <c r="M2962"/>
  <c r="L184"/>
  <c r="M184"/>
  <c r="K255"/>
  <c r="L256"/>
  <c r="M256"/>
  <c r="L593"/>
  <c r="M593"/>
  <c r="M610"/>
  <c r="L610"/>
  <c r="L923"/>
  <c r="M923"/>
  <c r="M997"/>
  <c r="L997"/>
  <c r="L1014"/>
  <c r="M1014"/>
  <c r="M1197"/>
  <c r="L1197"/>
  <c r="M1324"/>
  <c r="L1324"/>
  <c r="L1333"/>
  <c r="M1333"/>
  <c r="H1717"/>
  <c r="L1718"/>
  <c r="L1907"/>
  <c r="M1907"/>
  <c r="L2140"/>
  <c r="M2140"/>
  <c r="K2231"/>
  <c r="M2232"/>
  <c r="L2232"/>
  <c r="K2291"/>
  <c r="K2290" s="1"/>
  <c r="L2292"/>
  <c r="M2292"/>
  <c r="L2380"/>
  <c r="M2380"/>
  <c r="K2394"/>
  <c r="M2395"/>
  <c r="L2395"/>
  <c r="K2415"/>
  <c r="L2416"/>
  <c r="M2416"/>
  <c r="M2422"/>
  <c r="L2422"/>
  <c r="L2451"/>
  <c r="M2451"/>
  <c r="M2974"/>
  <c r="K366"/>
  <c r="K365" s="1"/>
  <c r="L367"/>
  <c r="M367"/>
  <c r="L670"/>
  <c r="M670"/>
  <c r="L962"/>
  <c r="M962"/>
  <c r="M2261"/>
  <c r="L2261"/>
  <c r="K42"/>
  <c r="L42" s="1"/>
  <c r="L43"/>
  <c r="K137"/>
  <c r="L138"/>
  <c r="M138"/>
  <c r="K278"/>
  <c r="M279"/>
  <c r="L279"/>
  <c r="M446"/>
  <c r="K1074"/>
  <c r="M1075"/>
  <c r="L1075"/>
  <c r="M1119"/>
  <c r="L1119"/>
  <c r="M1458"/>
  <c r="I1676"/>
  <c r="M1676" s="1"/>
  <c r="M1677"/>
  <c r="L2474"/>
  <c r="M2474"/>
  <c r="K122"/>
  <c r="L123"/>
  <c r="M123"/>
  <c r="E1493" i="2"/>
  <c r="L443" i="1"/>
  <c r="K567"/>
  <c r="L567" s="1"/>
  <c r="L568"/>
  <c r="L656"/>
  <c r="M656"/>
  <c r="K888"/>
  <c r="M889"/>
  <c r="L889"/>
  <c r="E283" i="2"/>
  <c r="E282" s="1"/>
  <c r="L1029" i="1"/>
  <c r="H1746"/>
  <c r="L1747"/>
  <c r="L1824"/>
  <c r="M1824"/>
  <c r="E405" i="2"/>
  <c r="L1914" i="1"/>
  <c r="E1745" i="2"/>
  <c r="E1744" s="1"/>
  <c r="I1744" s="1"/>
  <c r="L2241" i="1"/>
  <c r="K2341"/>
  <c r="M2342"/>
  <c r="L2342"/>
  <c r="E2094" i="2"/>
  <c r="E2093" s="1"/>
  <c r="I2093" s="1"/>
  <c r="L2450" i="1"/>
  <c r="E2036" i="2"/>
  <c r="L2717" i="1"/>
  <c r="H384" i="2"/>
  <c r="J384" s="1"/>
  <c r="J385"/>
  <c r="F1706"/>
  <c r="L417" i="1"/>
  <c r="L857"/>
  <c r="L2759"/>
  <c r="L1163"/>
  <c r="L542"/>
  <c r="L808"/>
  <c r="L1121"/>
  <c r="F1137" i="2"/>
  <c r="G168"/>
  <c r="G167" s="1"/>
  <c r="L671" i="1"/>
  <c r="H699" i="2"/>
  <c r="H672" s="1"/>
  <c r="L2364" i="1"/>
  <c r="M2364"/>
  <c r="M2362"/>
  <c r="L2362"/>
  <c r="K975"/>
  <c r="L975" s="1"/>
  <c r="L976"/>
  <c r="H1533" i="2"/>
  <c r="J1533" s="1"/>
  <c r="J1534"/>
  <c r="H1267"/>
  <c r="J1267" s="1"/>
  <c r="J1268"/>
  <c r="K2371" i="1"/>
  <c r="H321" i="2"/>
  <c r="J324"/>
  <c r="H897"/>
  <c r="J897" s="1"/>
  <c r="J898"/>
  <c r="K1009" i="1"/>
  <c r="H1527" i="2"/>
  <c r="I1527" s="1"/>
  <c r="J1528"/>
  <c r="K692" i="1"/>
  <c r="K1358"/>
  <c r="K1388"/>
  <c r="K1446"/>
  <c r="H780" i="2"/>
  <c r="J780" s="1"/>
  <c r="J781"/>
  <c r="H726"/>
  <c r="J726" s="1"/>
  <c r="J727"/>
  <c r="H1261"/>
  <c r="J1262"/>
  <c r="K141" i="1"/>
  <c r="K374"/>
  <c r="K329"/>
  <c r="H1643" i="2"/>
  <c r="J1644"/>
  <c r="H1646"/>
  <c r="J1646" s="1"/>
  <c r="J1647"/>
  <c r="H300"/>
  <c r="J300" s="1"/>
  <c r="J301"/>
  <c r="H1007"/>
  <c r="I1007" s="1"/>
  <c r="J1008"/>
  <c r="H948"/>
  <c r="J948" s="1"/>
  <c r="J949"/>
  <c r="H974"/>
  <c r="J975"/>
  <c r="F1277"/>
  <c r="I75" i="3"/>
  <c r="J38"/>
  <c r="F1873" i="2"/>
  <c r="H642"/>
  <c r="H1964"/>
  <c r="H1962" s="1"/>
  <c r="K2763" i="1"/>
  <c r="H2929"/>
  <c r="H2928" s="1"/>
  <c r="I23" i="3"/>
  <c r="I20"/>
  <c r="I38"/>
  <c r="F617" i="2"/>
  <c r="F1537"/>
  <c r="F1075"/>
  <c r="F1074" s="1"/>
  <c r="F202"/>
  <c r="H555"/>
  <c r="J555" s="1"/>
  <c r="K996" i="1"/>
  <c r="I1663"/>
  <c r="M1663" s="1"/>
  <c r="K24"/>
  <c r="M24" s="1"/>
  <c r="M25"/>
  <c r="H1683"/>
  <c r="L1683" s="1"/>
  <c r="H844" i="2"/>
  <c r="J844" s="1"/>
  <c r="J845"/>
  <c r="I702"/>
  <c r="J702"/>
  <c r="K1394" i="1"/>
  <c r="I2114"/>
  <c r="F610" i="2"/>
  <c r="F609" s="1"/>
  <c r="F608" s="1"/>
  <c r="F424" s="1"/>
  <c r="E648"/>
  <c r="E647" s="1"/>
  <c r="I647" s="1"/>
  <c r="H332"/>
  <c r="J332" s="1"/>
  <c r="J333"/>
  <c r="H783"/>
  <c r="J783" s="1"/>
  <c r="J784"/>
  <c r="H335"/>
  <c r="J335" s="1"/>
  <c r="J336"/>
  <c r="I753"/>
  <c r="J753"/>
  <c r="H1285"/>
  <c r="J1285" s="1"/>
  <c r="J1286"/>
  <c r="I2462" i="1"/>
  <c r="G720" i="2"/>
  <c r="G1380"/>
  <c r="H2699" i="1"/>
  <c r="L2699" s="1"/>
  <c r="J2763"/>
  <c r="E1610" i="2"/>
  <c r="E1609" s="1"/>
  <c r="I1609" s="1"/>
  <c r="G424"/>
  <c r="G1489"/>
  <c r="G1453" s="1"/>
  <c r="H757"/>
  <c r="G1873"/>
  <c r="G1829" s="1"/>
  <c r="F1588"/>
  <c r="I1683" i="1"/>
  <c r="M1683" s="1"/>
  <c r="H1264" i="2"/>
  <c r="J1264" s="1"/>
  <c r="J1265"/>
  <c r="H360"/>
  <c r="I360" s="1"/>
  <c r="J361"/>
  <c r="H363"/>
  <c r="J363" s="1"/>
  <c r="J364"/>
  <c r="K237" i="1"/>
  <c r="K396"/>
  <c r="K402"/>
  <c r="L402" s="1"/>
  <c r="J1251"/>
  <c r="J1250" s="1"/>
  <c r="J1249" s="1"/>
  <c r="G1451" i="2"/>
  <c r="G1450" s="1"/>
  <c r="G1449" s="1"/>
  <c r="G1445" s="1"/>
  <c r="K1863" i="1"/>
  <c r="K552"/>
  <c r="K1820"/>
  <c r="H1760" i="2"/>
  <c r="J1761"/>
  <c r="H112"/>
  <c r="J112" s="1"/>
  <c r="J113"/>
  <c r="H1010"/>
  <c r="J1010" s="1"/>
  <c r="J1011"/>
  <c r="H431"/>
  <c r="J431" s="1"/>
  <c r="J432"/>
  <c r="J2804" i="1"/>
  <c r="J2803" s="1"/>
  <c r="J2802" s="1"/>
  <c r="J2801" s="1"/>
  <c r="J2800" s="1"/>
  <c r="J2799" s="1"/>
  <c r="I2804"/>
  <c r="I2803" s="1"/>
  <c r="I2802" s="1"/>
  <c r="I2801" s="1"/>
  <c r="I2800" s="1"/>
  <c r="I2799" s="1"/>
  <c r="F1048" i="2"/>
  <c r="F1014" s="1"/>
  <c r="I2763" i="1"/>
  <c r="I2762" s="1"/>
  <c r="I2761" s="1"/>
  <c r="I2745" s="1"/>
  <c r="J23" i="3"/>
  <c r="J79"/>
  <c r="J86"/>
  <c r="E1880" i="2"/>
  <c r="E1877" s="1"/>
  <c r="F1233"/>
  <c r="H168"/>
  <c r="H393"/>
  <c r="H389" s="1"/>
  <c r="H1380"/>
  <c r="I754"/>
  <c r="H36"/>
  <c r="J36" s="1"/>
  <c r="J37"/>
  <c r="I398"/>
  <c r="J398"/>
  <c r="H1663" i="1"/>
  <c r="L1663" s="1"/>
  <c r="H355" i="2"/>
  <c r="I355" s="1"/>
  <c r="J356"/>
  <c r="E993"/>
  <c r="H1168"/>
  <c r="J1168" s="1"/>
  <c r="J1169"/>
  <c r="H1288"/>
  <c r="J1288" s="1"/>
  <c r="J1289"/>
  <c r="H885"/>
  <c r="J885" s="1"/>
  <c r="J886"/>
  <c r="K1352" i="1"/>
  <c r="E870" i="2"/>
  <c r="E869" s="1"/>
  <c r="E868" s="1"/>
  <c r="I1063"/>
  <c r="J1063"/>
  <c r="H366"/>
  <c r="J366" s="1"/>
  <c r="J367"/>
  <c r="I1102"/>
  <c r="J1102"/>
  <c r="H1659"/>
  <c r="I1659" s="1"/>
  <c r="J1660"/>
  <c r="G1419"/>
  <c r="I1064"/>
  <c r="H2763" i="1"/>
  <c r="H2762" s="1"/>
  <c r="H2761" s="1"/>
  <c r="G617" i="2"/>
  <c r="G1666"/>
  <c r="G1627" s="1"/>
  <c r="G1755"/>
  <c r="F130"/>
  <c r="G794"/>
  <c r="H1419"/>
  <c r="H339"/>
  <c r="H769"/>
  <c r="I60" i="3"/>
  <c r="H2105" i="2"/>
  <c r="H2104" s="1"/>
  <c r="K2804" i="1"/>
  <c r="H2090" i="2"/>
  <c r="H1189"/>
  <c r="H1173" s="1"/>
  <c r="K1866" i="1"/>
  <c r="H1075" i="2"/>
  <c r="H1873"/>
  <c r="H1829" s="1"/>
  <c r="H1666"/>
  <c r="K1483" i="1"/>
  <c r="K1473"/>
  <c r="K1468"/>
  <c r="K1465"/>
  <c r="K1461"/>
  <c r="K1440"/>
  <c r="K1437"/>
  <c r="K1433"/>
  <c r="K1430"/>
  <c r="L1430" s="1"/>
  <c r="I1430"/>
  <c r="K1424"/>
  <c r="K1421"/>
  <c r="K1415"/>
  <c r="K1412"/>
  <c r="I1409"/>
  <c r="K1403"/>
  <c r="K1400"/>
  <c r="K1397"/>
  <c r="K1382"/>
  <c r="K1376"/>
  <c r="K1370"/>
  <c r="K1367"/>
  <c r="K1364"/>
  <c r="K1361"/>
  <c r="K1343"/>
  <c r="K1335"/>
  <c r="K1326"/>
  <c r="K1323"/>
  <c r="K1314"/>
  <c r="K1311"/>
  <c r="K1308"/>
  <c r="K1305"/>
  <c r="K1299"/>
  <c r="K1281"/>
  <c r="K1278"/>
  <c r="H202" i="2"/>
  <c r="K828" i="1"/>
  <c r="H87" i="2"/>
  <c r="H83" s="1"/>
  <c r="H32"/>
  <c r="K399" i="1"/>
  <c r="H130" i="2"/>
  <c r="H1706"/>
  <c r="H1588"/>
  <c r="G1706"/>
  <c r="G672"/>
  <c r="F1522"/>
  <c r="G1233"/>
  <c r="G1048"/>
  <c r="G1014" s="1"/>
  <c r="G130"/>
  <c r="G1930"/>
  <c r="G1928" s="1"/>
  <c r="F1666"/>
  <c r="F1627" s="1"/>
  <c r="G1075"/>
  <c r="G1074" s="1"/>
  <c r="F672"/>
  <c r="F1829"/>
  <c r="I83" i="3"/>
  <c r="I79"/>
  <c r="I56"/>
  <c r="I47"/>
  <c r="E91"/>
  <c r="I27"/>
  <c r="J83"/>
  <c r="J75"/>
  <c r="I68"/>
  <c r="J60"/>
  <c r="J56"/>
  <c r="J47"/>
  <c r="H91"/>
  <c r="J27"/>
  <c r="F91"/>
  <c r="J20"/>
  <c r="G91"/>
  <c r="I9"/>
  <c r="J9"/>
  <c r="E1825" i="2"/>
  <c r="I1825" s="1"/>
  <c r="J1779" i="1"/>
  <c r="J2574"/>
  <c r="J2573" s="1"/>
  <c r="J2572" s="1"/>
  <c r="J2571" s="1"/>
  <c r="H2716"/>
  <c r="L2716" s="1"/>
  <c r="H2873"/>
  <c r="H2872" s="1"/>
  <c r="H2871" s="1"/>
  <c r="H2870" s="1"/>
  <c r="H2869" s="1"/>
  <c r="H2868" s="1"/>
  <c r="H2867" s="1"/>
  <c r="H2916"/>
  <c r="L2916" s="1"/>
  <c r="H2559"/>
  <c r="L2559" s="1"/>
  <c r="E1899" i="2"/>
  <c r="E1898" s="1"/>
  <c r="G1108" i="1"/>
  <c r="E1861" i="2"/>
  <c r="E1860" s="1"/>
  <c r="E1859" s="1"/>
  <c r="H1697" i="1"/>
  <c r="L1697" s="1"/>
  <c r="E2100" i="2"/>
  <c r="I2100" s="1"/>
  <c r="E2074"/>
  <c r="E2073" s="1"/>
  <c r="I2574" i="1"/>
  <c r="I2573" s="1"/>
  <c r="I2572" s="1"/>
  <c r="I2571" s="1"/>
  <c r="E1906" i="2"/>
  <c r="I1906" s="1"/>
  <c r="E1543"/>
  <c r="I1543" s="1"/>
  <c r="H2575" i="1"/>
  <c r="H2574" s="1"/>
  <c r="H2573" s="1"/>
  <c r="H2572" s="1"/>
  <c r="H2571" s="1"/>
  <c r="E345" i="2"/>
  <c r="I348"/>
  <c r="I346"/>
  <c r="H2920" i="1"/>
  <c r="L2920" s="1"/>
  <c r="E1057" i="2"/>
  <c r="I1057" s="1"/>
  <c r="I1878"/>
  <c r="I1879"/>
  <c r="J1723"/>
  <c r="I1723"/>
  <c r="H2805" i="1"/>
  <c r="H2804" s="1"/>
  <c r="I1722" i="2"/>
  <c r="J1722"/>
  <c r="I1391"/>
  <c r="E1712"/>
  <c r="E1711" s="1"/>
  <c r="E1710" s="1"/>
  <c r="H2682" i="1"/>
  <c r="L2682" s="1"/>
  <c r="H2656"/>
  <c r="I1389" i="2"/>
  <c r="I1390"/>
  <c r="I1833"/>
  <c r="H2552" i="1"/>
  <c r="H2547" s="1"/>
  <c r="I1888" i="2"/>
  <c r="J682" i="1"/>
  <c r="J1219"/>
  <c r="K1779"/>
  <c r="J1803"/>
  <c r="G2003"/>
  <c r="H1970"/>
  <c r="I1980"/>
  <c r="K651"/>
  <c r="J737"/>
  <c r="J736" s="1"/>
  <c r="J1721"/>
  <c r="J1720" s="1"/>
  <c r="G144"/>
  <c r="I484"/>
  <c r="I480" s="1"/>
  <c r="J673"/>
  <c r="G2377"/>
  <c r="G2367" s="1"/>
  <c r="G2366" s="1"/>
  <c r="G175"/>
  <c r="G166" s="1"/>
  <c r="G165" s="1"/>
  <c r="G164" s="1"/>
  <c r="H928"/>
  <c r="H927" s="1"/>
  <c r="H926" s="1"/>
  <c r="H925" s="1"/>
  <c r="H919" s="1"/>
  <c r="H918" s="1"/>
  <c r="E1885" i="2"/>
  <c r="E1884" s="1"/>
  <c r="E1883" s="1"/>
  <c r="H2240" i="1"/>
  <c r="H2239" s="1"/>
  <c r="L27"/>
  <c r="J484"/>
  <c r="J480" s="1"/>
  <c r="G587"/>
  <c r="G804"/>
  <c r="G803" s="1"/>
  <c r="G1132"/>
  <c r="K2361"/>
  <c r="G2066"/>
  <c r="H2331"/>
  <c r="H2330" s="1"/>
  <c r="H2329" s="1"/>
  <c r="H2328" s="1"/>
  <c r="H2327" s="1"/>
  <c r="H2326" s="1"/>
  <c r="J2943"/>
  <c r="J2942" s="1"/>
  <c r="J1464"/>
  <c r="G2275"/>
  <c r="G2274" s="1"/>
  <c r="H2257"/>
  <c r="K167"/>
  <c r="G2471"/>
  <c r="G58"/>
  <c r="H2353"/>
  <c r="J103"/>
  <c r="J102" s="1"/>
  <c r="J101" s="1"/>
  <c r="G2973"/>
  <c r="G2972" s="1"/>
  <c r="G2971" s="1"/>
  <c r="G2970" s="1"/>
  <c r="G2969" s="1"/>
  <c r="G2513"/>
  <c r="E504" i="2"/>
  <c r="E503" s="1"/>
  <c r="I503" s="1"/>
  <c r="H2462" i="1"/>
  <c r="M14"/>
  <c r="G82"/>
  <c r="G81" s="1"/>
  <c r="J2046"/>
  <c r="J726"/>
  <c r="I901"/>
  <c r="G408"/>
  <c r="G407" s="1"/>
  <c r="J927"/>
  <c r="J926" s="1"/>
  <c r="J925" s="1"/>
  <c r="J919" s="1"/>
  <c r="J918" s="1"/>
  <c r="E1410" i="2"/>
  <c r="E1409" s="1"/>
  <c r="I1409" s="1"/>
  <c r="J49" i="1"/>
  <c r="I1756"/>
  <c r="I1755" s="1"/>
  <c r="I1793"/>
  <c r="I1792" s="1"/>
  <c r="I1791" s="1"/>
  <c r="I1790" s="1"/>
  <c r="I1789" s="1"/>
  <c r="I1788" s="1"/>
  <c r="H2036"/>
  <c r="H2044"/>
  <c r="H2041" s="1"/>
  <c r="H2046"/>
  <c r="G456"/>
  <c r="G1044"/>
  <c r="G1043" s="1"/>
  <c r="G1042" s="1"/>
  <c r="H2449"/>
  <c r="H2448" s="1"/>
  <c r="H2447" s="1"/>
  <c r="J2361"/>
  <c r="G2155"/>
  <c r="G2175"/>
  <c r="I2361"/>
  <c r="J1668"/>
  <c r="G1844"/>
  <c r="J860"/>
  <c r="J859" s="1"/>
  <c r="I805"/>
  <c r="I804" s="1"/>
  <c r="I803" s="1"/>
  <c r="E524" i="2"/>
  <c r="I524" s="1"/>
  <c r="I1741" i="1"/>
  <c r="I1740" s="1"/>
  <c r="I1739" s="1"/>
  <c r="I1738" s="1"/>
  <c r="I1737" s="1"/>
  <c r="I1831"/>
  <c r="I2586"/>
  <c r="I1013"/>
  <c r="I1012" s="1"/>
  <c r="K2353"/>
  <c r="H2361"/>
  <c r="H2398"/>
  <c r="H2397" s="1"/>
  <c r="I1889" i="2"/>
  <c r="J1889"/>
  <c r="J1888"/>
  <c r="I1281"/>
  <c r="J1281"/>
  <c r="H2430" i="1"/>
  <c r="L2430" s="1"/>
  <c r="J706" i="2"/>
  <c r="E704"/>
  <c r="E699" s="1"/>
  <c r="J2397" i="1"/>
  <c r="I2397"/>
  <c r="I706" i="2"/>
  <c r="G2180" i="1"/>
  <c r="K704"/>
  <c r="J615"/>
  <c r="J614" s="1"/>
  <c r="J613" s="1"/>
  <c r="J1108"/>
  <c r="J1214"/>
  <c r="I1338"/>
  <c r="J1581"/>
  <c r="J1580" s="1"/>
  <c r="J1579" s="1"/>
  <c r="G2041"/>
  <c r="G2061"/>
  <c r="G2081"/>
  <c r="G2101"/>
  <c r="G2534"/>
  <c r="G2530" s="1"/>
  <c r="H743"/>
  <c r="H742" s="1"/>
  <c r="H2943"/>
  <c r="H2942" s="1"/>
  <c r="K1823"/>
  <c r="H2311"/>
  <c r="H2419"/>
  <c r="H2418" s="1"/>
  <c r="H2114"/>
  <c r="H1491"/>
  <c r="H1490" s="1"/>
  <c r="H1489" s="1"/>
  <c r="I1975"/>
  <c r="I1985"/>
  <c r="I1990"/>
  <c r="I1995"/>
  <c r="J2018"/>
  <c r="K2101"/>
  <c r="J2429"/>
  <c r="J2428" s="1"/>
  <c r="J2427" s="1"/>
  <c r="J2426" s="1"/>
  <c r="J2425" s="1"/>
  <c r="G2554"/>
  <c r="J2641"/>
  <c r="J2640" s="1"/>
  <c r="J2639" s="1"/>
  <c r="J2638" s="1"/>
  <c r="J2637" s="1"/>
  <c r="H2304"/>
  <c r="L2304" s="1"/>
  <c r="H2731"/>
  <c r="K1765"/>
  <c r="H1708"/>
  <c r="L1708" s="1"/>
  <c r="G1147"/>
  <c r="I408"/>
  <c r="I407" s="1"/>
  <c r="G1873"/>
  <c r="G1872" s="1"/>
  <c r="G1871" s="1"/>
  <c r="G1870" s="1"/>
  <c r="I2013"/>
  <c r="I2641"/>
  <c r="I2640" s="1"/>
  <c r="I2639" s="1"/>
  <c r="I2638" s="1"/>
  <c r="I2637" s="1"/>
  <c r="I449"/>
  <c r="G1894"/>
  <c r="G1893" s="1"/>
  <c r="G1892" s="1"/>
  <c r="G1891" s="1"/>
  <c r="G2596"/>
  <c r="G2592" s="1"/>
  <c r="E1685" i="2"/>
  <c r="E1684" s="1"/>
  <c r="G867" i="1"/>
  <c r="K1507"/>
  <c r="J1533"/>
  <c r="J1532" s="1"/>
  <c r="J1524" s="1"/>
  <c r="G2114"/>
  <c r="K2003"/>
  <c r="J2180"/>
  <c r="I2256"/>
  <c r="E1181" i="2"/>
  <c r="E1180" s="1"/>
  <c r="I1180" s="1"/>
  <c r="E1669"/>
  <c r="E1668" s="1"/>
  <c r="I1668" s="1"/>
  <c r="I1819" i="1"/>
  <c r="I1818" s="1"/>
  <c r="I2353"/>
  <c r="J2353"/>
  <c r="K1956"/>
  <c r="G874"/>
  <c r="G1123"/>
  <c r="G1214"/>
  <c r="G1831"/>
  <c r="I2723"/>
  <c r="K2170"/>
  <c r="I975"/>
  <c r="I974" s="1"/>
  <c r="K191"/>
  <c r="I30"/>
  <c r="J395"/>
  <c r="J394" s="1"/>
  <c r="J393" s="1"/>
  <c r="I647"/>
  <c r="H868"/>
  <c r="L868" s="1"/>
  <c r="H1654"/>
  <c r="L1654" s="1"/>
  <c r="G1756"/>
  <c r="G1755" s="1"/>
  <c r="K1844"/>
  <c r="J1894"/>
  <c r="J1893" s="1"/>
  <c r="J1892" s="1"/>
  <c r="J1891" s="1"/>
  <c r="G1918"/>
  <c r="H2525"/>
  <c r="H2521" s="1"/>
  <c r="H2534"/>
  <c r="H2530" s="1"/>
  <c r="J2739"/>
  <c r="I603"/>
  <c r="H2973"/>
  <c r="H2972" s="1"/>
  <c r="H2971" s="1"/>
  <c r="H2970" s="1"/>
  <c r="H2969" s="1"/>
  <c r="E1106" i="2"/>
  <c r="I1106" s="1"/>
  <c r="E395"/>
  <c r="E394" s="1"/>
  <c r="I394" s="1"/>
  <c r="E1051"/>
  <c r="E1050" s="1"/>
  <c r="H2224" i="1"/>
  <c r="H2223" s="1"/>
  <c r="H2218" s="1"/>
  <c r="G2170"/>
  <c r="I2003"/>
  <c r="H1851"/>
  <c r="H1844" s="1"/>
  <c r="G2804"/>
  <c r="G2803" s="1"/>
  <c r="G2802" s="1"/>
  <c r="G2801" s="1"/>
  <c r="G2800" s="1"/>
  <c r="G2799" s="1"/>
  <c r="E1066" i="2"/>
  <c r="I1066" s="1"/>
  <c r="I2330" i="1"/>
  <c r="I2329" s="1"/>
  <c r="I2328" s="1"/>
  <c r="I2327" s="1"/>
  <c r="I2326" s="1"/>
  <c r="K2655"/>
  <c r="K2152"/>
  <c r="I2287"/>
  <c r="I2286" s="1"/>
  <c r="I1132"/>
  <c r="G1581"/>
  <c r="G1580" s="1"/>
  <c r="G1579" s="1"/>
  <c r="J1793"/>
  <c r="J1792" s="1"/>
  <c r="J1791" s="1"/>
  <c r="J1790" s="1"/>
  <c r="J1789" s="1"/>
  <c r="J1788" s="1"/>
  <c r="J1844"/>
  <c r="K2031"/>
  <c r="K2041"/>
  <c r="K2066"/>
  <c r="K2096"/>
  <c r="G2160"/>
  <c r="K2160"/>
  <c r="K2165"/>
  <c r="K2175"/>
  <c r="I2275"/>
  <c r="J2297"/>
  <c r="J2296" s="1"/>
  <c r="J2295" s="1"/>
  <c r="G2462"/>
  <c r="G2494"/>
  <c r="G2493" s="1"/>
  <c r="G2525"/>
  <c r="G2521" s="1"/>
  <c r="G2763"/>
  <c r="G2762" s="1"/>
  <c r="G2761" s="1"/>
  <c r="G2745" s="1"/>
  <c r="J2856"/>
  <c r="J2855" s="1"/>
  <c r="J2854" s="1"/>
  <c r="J2843" s="1"/>
  <c r="J2936"/>
  <c r="J2935" s="1"/>
  <c r="E1060" i="2"/>
  <c r="E1059" s="1"/>
  <c r="J1949" i="1"/>
  <c r="J1902"/>
  <c r="G484"/>
  <c r="G480" s="1"/>
  <c r="H1451"/>
  <c r="L1451" s="1"/>
  <c r="H1857"/>
  <c r="L1857" s="1"/>
  <c r="H1660"/>
  <c r="L1660" s="1"/>
  <c r="J936"/>
  <c r="J935" s="1"/>
  <c r="J426"/>
  <c r="I1137"/>
  <c r="I1147"/>
  <c r="H1691"/>
  <c r="L1691" s="1"/>
  <c r="K1831"/>
  <c r="K2018"/>
  <c r="J2026"/>
  <c r="J2031"/>
  <c r="J2036"/>
  <c r="J2041"/>
  <c r="J2051"/>
  <c r="J2056"/>
  <c r="J2061"/>
  <c r="J2066"/>
  <c r="J2071"/>
  <c r="J2076"/>
  <c r="J2081"/>
  <c r="J2086"/>
  <c r="J2091"/>
  <c r="J2096"/>
  <c r="J2101"/>
  <c r="J2106"/>
  <c r="J2144"/>
  <c r="J2155"/>
  <c r="J2160"/>
  <c r="J2165"/>
  <c r="J2170"/>
  <c r="J2175"/>
  <c r="G2547"/>
  <c r="J2494"/>
  <c r="J2493" s="1"/>
  <c r="J2525"/>
  <c r="J2521" s="1"/>
  <c r="H2739"/>
  <c r="I2448"/>
  <c r="I2447" s="1"/>
  <c r="E1675" i="2"/>
  <c r="E1674" s="1"/>
  <c r="E1215"/>
  <c r="E1214" s="1"/>
  <c r="J2239" i="1"/>
  <c r="J2238" s="1"/>
  <c r="J2237" s="1"/>
  <c r="J2236" s="1"/>
  <c r="J2235" s="1"/>
  <c r="G2076"/>
  <c r="K2275"/>
  <c r="H791"/>
  <c r="J2275"/>
  <c r="J2274" s="1"/>
  <c r="G395"/>
  <c r="G394" s="1"/>
  <c r="G393" s="1"/>
  <c r="J598"/>
  <c r="I867"/>
  <c r="J1831"/>
  <c r="I1918"/>
  <c r="G2086"/>
  <c r="I2494"/>
  <c r="I2493" s="1"/>
  <c r="I2525"/>
  <c r="I2521" s="1"/>
  <c r="I2534"/>
  <c r="I2530" s="1"/>
  <c r="K2311"/>
  <c r="K2223"/>
  <c r="L2223" s="1"/>
  <c r="J1819"/>
  <c r="J1818" s="1"/>
  <c r="K2340"/>
  <c r="J1854"/>
  <c r="G737"/>
  <c r="G736" s="1"/>
  <c r="G2681"/>
  <c r="G2680" s="1"/>
  <c r="G2667" s="1"/>
  <c r="G2666" s="1"/>
  <c r="G2665" s="1"/>
  <c r="G2664" s="1"/>
  <c r="J1624"/>
  <c r="J1623" s="1"/>
  <c r="H1138"/>
  <c r="L1138" s="1"/>
  <c r="G2036"/>
  <c r="I2267"/>
  <c r="G2429"/>
  <c r="G2428" s="1"/>
  <c r="G2427" s="1"/>
  <c r="G2426" s="1"/>
  <c r="G2425" s="1"/>
  <c r="E1681" i="2"/>
  <c r="E1680" s="1"/>
  <c r="I1680" s="1"/>
  <c r="G2013" i="1"/>
  <c r="I2454"/>
  <c r="I2453" s="1"/>
  <c r="E1198" i="2"/>
  <c r="E1197" s="1"/>
  <c r="I1197" s="1"/>
  <c r="J999" i="1"/>
  <c r="J1765"/>
  <c r="K1409"/>
  <c r="L1409" s="1"/>
  <c r="J241"/>
  <c r="J240" s="1"/>
  <c r="J235" s="1"/>
  <c r="J234" s="1"/>
  <c r="G498"/>
  <c r="J699"/>
  <c r="I844"/>
  <c r="J867"/>
  <c r="G1219"/>
  <c r="I1227"/>
  <c r="J1491"/>
  <c r="J1490" s="1"/>
  <c r="J1489" s="1"/>
  <c r="G1690"/>
  <c r="G1689" s="1"/>
  <c r="I1721"/>
  <c r="J1918"/>
  <c r="J1970"/>
  <c r="J1985"/>
  <c r="J1990"/>
  <c r="J2013"/>
  <c r="K2239"/>
  <c r="H2265"/>
  <c r="L2265" s="1"/>
  <c r="K2902"/>
  <c r="K2901" s="1"/>
  <c r="K2900" s="1"/>
  <c r="K2899" s="1"/>
  <c r="K2898" s="1"/>
  <c r="K2897" s="1"/>
  <c r="K1013"/>
  <c r="H1877"/>
  <c r="H1874" s="1"/>
  <c r="H1873" s="1"/>
  <c r="H1872" s="1"/>
  <c r="H1871" s="1"/>
  <c r="H1870" s="1"/>
  <c r="J2984"/>
  <c r="J2983" s="1"/>
  <c r="J2982" s="1"/>
  <c r="J2981" s="1"/>
  <c r="J2980" s="1"/>
  <c r="E622" i="2"/>
  <c r="E621" s="1"/>
  <c r="I621" s="1"/>
  <c r="E1414"/>
  <c r="E1413" s="1"/>
  <c r="I1413" s="1"/>
  <c r="J167" i="1"/>
  <c r="K456"/>
  <c r="H914"/>
  <c r="H913" s="1"/>
  <c r="I1765"/>
  <c r="I1935"/>
  <c r="I1326"/>
  <c r="G1533"/>
  <c r="G1532" s="1"/>
  <c r="G1524" s="1"/>
  <c r="G2018"/>
  <c r="I534"/>
  <c r="G1020"/>
  <c r="G1019" s="1"/>
  <c r="G1018" s="1"/>
  <c r="G2405"/>
  <c r="G2404" s="1"/>
  <c r="G2403" s="1"/>
  <c r="H2207"/>
  <c r="I1624"/>
  <c r="I1623" s="1"/>
  <c r="K2013"/>
  <c r="K58"/>
  <c r="I1102"/>
  <c r="I1450"/>
  <c r="I1449" s="1"/>
  <c r="I49"/>
  <c r="H408"/>
  <c r="G704"/>
  <c r="I699"/>
  <c r="J1590"/>
  <c r="H2031"/>
  <c r="H2066"/>
  <c r="H2076"/>
  <c r="H2091"/>
  <c r="H2096"/>
  <c r="H2101"/>
  <c r="H2106"/>
  <c r="H2494"/>
  <c r="H2493" s="1"/>
  <c r="J2534"/>
  <c r="J2530" s="1"/>
  <c r="J2539"/>
  <c r="J2547"/>
  <c r="J2554"/>
  <c r="J2596"/>
  <c r="J2592" s="1"/>
  <c r="K2707"/>
  <c r="I2856"/>
  <c r="I2888"/>
  <c r="I2887" s="1"/>
  <c r="I2886" s="1"/>
  <c r="I2885" s="1"/>
  <c r="I2884" s="1"/>
  <c r="I2883" s="1"/>
  <c r="H2936"/>
  <c r="H2935" s="1"/>
  <c r="J805"/>
  <c r="J804" s="1"/>
  <c r="J803" s="1"/>
  <c r="I999"/>
  <c r="H1909"/>
  <c r="L1909" s="1"/>
  <c r="J2223"/>
  <c r="J2218" s="1"/>
  <c r="K1113"/>
  <c r="H2604"/>
  <c r="H267"/>
  <c r="L267" s="1"/>
  <c r="G2096"/>
  <c r="E154" i="2"/>
  <c r="E153" s="1"/>
  <c r="I153" s="1"/>
  <c r="H721" i="1"/>
  <c r="L721" s="1"/>
  <c r="G1975"/>
  <c r="I2928"/>
  <c r="K1284"/>
  <c r="H1147"/>
  <c r="K2118"/>
  <c r="I704"/>
  <c r="J714"/>
  <c r="H875"/>
  <c r="H874" s="1"/>
  <c r="I874"/>
  <c r="K1227"/>
  <c r="I1597"/>
  <c r="J1756"/>
  <c r="J1755" s="1"/>
  <c r="H1793"/>
  <c r="H1792" s="1"/>
  <c r="H1791" s="1"/>
  <c r="H1790" s="1"/>
  <c r="H1789" s="1"/>
  <c r="H1788" s="1"/>
  <c r="I1854"/>
  <c r="H1912"/>
  <c r="L1912" s="1"/>
  <c r="G1970"/>
  <c r="G1990"/>
  <c r="G2008"/>
  <c r="G2130"/>
  <c r="G2129" s="1"/>
  <c r="G2128" s="1"/>
  <c r="J2130"/>
  <c r="J2129" s="1"/>
  <c r="J2128" s="1"/>
  <c r="H2471"/>
  <c r="K2494"/>
  <c r="I2547"/>
  <c r="I2554"/>
  <c r="J2762"/>
  <c r="J2761" s="1"/>
  <c r="J2745" s="1"/>
  <c r="J1874"/>
  <c r="J1873" s="1"/>
  <c r="J1872" s="1"/>
  <c r="J1871" s="1"/>
  <c r="J1870" s="1"/>
  <c r="I2563"/>
  <c r="I2562" s="1"/>
  <c r="I2943"/>
  <c r="I2942" s="1"/>
  <c r="E1200" i="2"/>
  <c r="E1199" s="1"/>
  <c r="J1089" i="1"/>
  <c r="I2223"/>
  <c r="I2218" s="1"/>
  <c r="J2330"/>
  <c r="J2329" s="1"/>
  <c r="J2328" s="1"/>
  <c r="J2327" s="1"/>
  <c r="J2326" s="1"/>
  <c r="K471"/>
  <c r="H1832"/>
  <c r="L1832" s="1"/>
  <c r="G1980"/>
  <c r="G2781"/>
  <c r="G2780" s="1"/>
  <c r="J470"/>
  <c r="J1690"/>
  <c r="J1689" s="1"/>
  <c r="G2056"/>
  <c r="I2623"/>
  <c r="I2622" s="1"/>
  <c r="I2621" s="1"/>
  <c r="I2620" s="1"/>
  <c r="E1556" i="2"/>
  <c r="E1555" s="1"/>
  <c r="I1555" s="1"/>
  <c r="K1975" i="1"/>
  <c r="G1995"/>
  <c r="G2773"/>
  <c r="G2772" s="1"/>
  <c r="I2984"/>
  <c r="I2983" s="1"/>
  <c r="I2982" s="1"/>
  <c r="I2981" s="1"/>
  <c r="I2980" s="1"/>
  <c r="E626" i="2"/>
  <c r="E624" s="1"/>
  <c r="E623" s="1"/>
  <c r="I82" i="1"/>
  <c r="I81" s="1"/>
  <c r="K241"/>
  <c r="I383"/>
  <c r="I382" s="1"/>
  <c r="I381" s="1"/>
  <c r="I380" s="1"/>
  <c r="I587"/>
  <c r="I714"/>
  <c r="I757"/>
  <c r="I756" s="1"/>
  <c r="I755" s="1"/>
  <c r="K867"/>
  <c r="J1227"/>
  <c r="J1707"/>
  <c r="J1706" s="1"/>
  <c r="K1793"/>
  <c r="K1792" s="1"/>
  <c r="K1791" s="1"/>
  <c r="K1790" s="1"/>
  <c r="K1789" s="1"/>
  <c r="K1788" s="1"/>
  <c r="K1970"/>
  <c r="K1980"/>
  <c r="J2003"/>
  <c r="J2008"/>
  <c r="I2130"/>
  <c r="I2129" s="1"/>
  <c r="I2128" s="1"/>
  <c r="G2199"/>
  <c r="J2419"/>
  <c r="J2418" s="1"/>
  <c r="H1935"/>
  <c r="J1935"/>
  <c r="J2311"/>
  <c r="J2310" s="1"/>
  <c r="I2311"/>
  <c r="I2310" s="1"/>
  <c r="I1131" i="2"/>
  <c r="I1132"/>
  <c r="E1129"/>
  <c r="H2298" i="1"/>
  <c r="L2298" s="1"/>
  <c r="H2267"/>
  <c r="H2263"/>
  <c r="L2263" s="1"/>
  <c r="I670" i="2"/>
  <c r="E668"/>
  <c r="E667" s="1"/>
  <c r="I700"/>
  <c r="H2191" i="1"/>
  <c r="H2144"/>
  <c r="H2137"/>
  <c r="H2136" s="1"/>
  <c r="H2086"/>
  <c r="H2081"/>
  <c r="H2071"/>
  <c r="H2061"/>
  <c r="H2056"/>
  <c r="H2051"/>
  <c r="H2021"/>
  <c r="E486" i="2"/>
  <c r="E485" s="1"/>
  <c r="E482" s="1"/>
  <c r="H1980" i="1"/>
  <c r="H1975"/>
  <c r="J700" i="2"/>
  <c r="J701"/>
  <c r="I701"/>
  <c r="E402"/>
  <c r="H1903" i="1"/>
  <c r="L1903" s="1"/>
  <c r="E1099" i="2"/>
  <c r="E1098" s="1"/>
  <c r="I1098" s="1"/>
  <c r="H1838" i="1"/>
  <c r="L1838" s="1"/>
  <c r="E1093" i="2"/>
  <c r="I1093" s="1"/>
  <c r="J1386"/>
  <c r="H1819" i="1"/>
  <c r="J1387" i="2"/>
  <c r="I1383"/>
  <c r="E1384"/>
  <c r="E1381" s="1"/>
  <c r="I1387"/>
  <c r="J1388"/>
  <c r="I1385"/>
  <c r="I1388"/>
  <c r="I1386"/>
  <c r="H1765" i="1"/>
  <c r="H1721"/>
  <c r="H1628"/>
  <c r="L1628" s="1"/>
  <c r="H1625"/>
  <c r="L1625" s="1"/>
  <c r="K514"/>
  <c r="H1211"/>
  <c r="K1450"/>
  <c r="H1779"/>
  <c r="K1985"/>
  <c r="K609"/>
  <c r="K978"/>
  <c r="E133" i="2"/>
  <c r="E132" s="1"/>
  <c r="E131" s="1"/>
  <c r="H700" i="1"/>
  <c r="L700" s="1"/>
  <c r="K292"/>
  <c r="H573"/>
  <c r="H566" s="1"/>
  <c r="K797"/>
  <c r="L797" s="1"/>
  <c r="H834"/>
  <c r="K2406"/>
  <c r="K339"/>
  <c r="H477"/>
  <c r="K644"/>
  <c r="K1561"/>
  <c r="H2863"/>
  <c r="H1009"/>
  <c r="E761" i="2"/>
  <c r="I761" s="1"/>
  <c r="I1034" i="1"/>
  <c r="G1507"/>
  <c r="G1506" s="1"/>
  <c r="G1505" s="1"/>
  <c r="G1504" s="1"/>
  <c r="G2026"/>
  <c r="G2106"/>
  <c r="K2627"/>
  <c r="I366"/>
  <c r="I365" s="1"/>
  <c r="I364" s="1"/>
  <c r="K1346"/>
  <c r="K107"/>
  <c r="K1214"/>
  <c r="G114"/>
  <c r="G113" s="1"/>
  <c r="G112" s="1"/>
  <c r="H1440"/>
  <c r="J30"/>
  <c r="G1173"/>
  <c r="H1866"/>
  <c r="G2586"/>
  <c r="G2585" s="1"/>
  <c r="G2584" s="1"/>
  <c r="I1308"/>
  <c r="G2902"/>
  <c r="G2901" s="1"/>
  <c r="G2900" s="1"/>
  <c r="G2899" s="1"/>
  <c r="G2898" s="1"/>
  <c r="G2897" s="1"/>
  <c r="K938"/>
  <c r="G41"/>
  <c r="K1391"/>
  <c r="H1601"/>
  <c r="H1597" s="1"/>
  <c r="K2753"/>
  <c r="K961"/>
  <c r="H514"/>
  <c r="I1235"/>
  <c r="K1338"/>
  <c r="H2377"/>
  <c r="K1096"/>
  <c r="H2846"/>
  <c r="H2845" s="1"/>
  <c r="H2844" s="1"/>
  <c r="H281"/>
  <c r="K1024"/>
  <c r="K115"/>
  <c r="K1266"/>
  <c r="H194"/>
  <c r="H189" s="1"/>
  <c r="K1169"/>
  <c r="K1244"/>
  <c r="I1433"/>
  <c r="I1636"/>
  <c r="K1841"/>
  <c r="I1883"/>
  <c r="K1967"/>
  <c r="H1990"/>
  <c r="H1995"/>
  <c r="K2046"/>
  <c r="K2071"/>
  <c r="K2076"/>
  <c r="K2086"/>
  <c r="K2106"/>
  <c r="I2484"/>
  <c r="I2483" s="1"/>
  <c r="I2482" s="1"/>
  <c r="I1045"/>
  <c r="K887"/>
  <c r="K1385"/>
  <c r="I1902"/>
  <c r="K1915"/>
  <c r="L1915" s="1"/>
  <c r="K1379"/>
  <c r="I545"/>
  <c r="I544" s="1"/>
  <c r="I1479"/>
  <c r="I1478" s="1"/>
  <c r="I1477" s="1"/>
  <c r="G1793"/>
  <c r="G1792" s="1"/>
  <c r="G1791" s="1"/>
  <c r="G1790" s="1"/>
  <c r="G1789" s="1"/>
  <c r="G1788" s="1"/>
  <c r="J2267"/>
  <c r="J2377"/>
  <c r="J2367" s="1"/>
  <c r="I156"/>
  <c r="I155" s="1"/>
  <c r="I154" s="1"/>
  <c r="J1162"/>
  <c r="J1161" s="1"/>
  <c r="E178" i="2"/>
  <c r="I178" s="1"/>
  <c r="J522" i="1"/>
  <c r="J521" s="1"/>
  <c r="I1027"/>
  <c r="K1124"/>
  <c r="H1483"/>
  <c r="H1479" s="1"/>
  <c r="K1995"/>
  <c r="I2018"/>
  <c r="H2484"/>
  <c r="K771"/>
  <c r="H638"/>
  <c r="H1812"/>
  <c r="K1021"/>
  <c r="K1332"/>
  <c r="H278"/>
  <c r="I1403"/>
  <c r="K2148"/>
  <c r="H893"/>
  <c r="H892" s="1"/>
  <c r="H891" s="1"/>
  <c r="H261"/>
  <c r="H260" s="1"/>
  <c r="H259" s="1"/>
  <c r="H1065"/>
  <c r="I1299"/>
  <c r="K175"/>
  <c r="H307"/>
  <c r="H420"/>
  <c r="H419" s="1"/>
  <c r="H1430"/>
  <c r="H1700"/>
  <c r="L1700" s="1"/>
  <c r="I2385"/>
  <c r="K2596"/>
  <c r="K2601"/>
  <c r="H2840"/>
  <c r="K2624"/>
  <c r="K2973"/>
  <c r="H137"/>
  <c r="G2046"/>
  <c r="G2856"/>
  <c r="G2855" s="1"/>
  <c r="G2854" s="1"/>
  <c r="G2843" s="1"/>
  <c r="I1061"/>
  <c r="I1060" s="1"/>
  <c r="I1059" s="1"/>
  <c r="L33"/>
  <c r="I1690"/>
  <c r="M1690" s="1"/>
  <c r="G2165"/>
  <c r="H2774"/>
  <c r="I566"/>
  <c r="K206"/>
  <c r="J508"/>
  <c r="G598"/>
  <c r="G586" s="1"/>
  <c r="G1707"/>
  <c r="G1706" s="1"/>
  <c r="I2707"/>
  <c r="I2706" s="1"/>
  <c r="K788"/>
  <c r="I2388"/>
  <c r="K1990"/>
  <c r="H1544"/>
  <c r="K1000"/>
  <c r="K1089"/>
  <c r="H72"/>
  <c r="K345"/>
  <c r="K632"/>
  <c r="I2187"/>
  <c r="K2586"/>
  <c r="I2863"/>
  <c r="H2394"/>
  <c r="K805"/>
  <c r="G426"/>
  <c r="H2023"/>
  <c r="H2117"/>
  <c r="I834"/>
  <c r="K1219"/>
  <c r="H2231"/>
  <c r="H2230" s="1"/>
  <c r="I307"/>
  <c r="J1203"/>
  <c r="H366"/>
  <c r="I2677"/>
  <c r="I2676" s="1"/>
  <c r="K948"/>
  <c r="L14"/>
  <c r="G1137"/>
  <c r="I2773"/>
  <c r="I2772" s="1"/>
  <c r="J1020"/>
  <c r="J1019" s="1"/>
  <c r="J1018" s="1"/>
  <c r="J1613"/>
  <c r="J1612" s="1"/>
  <c r="J1611" s="1"/>
  <c r="J1610" s="1"/>
  <c r="K419"/>
  <c r="K2307"/>
  <c r="K2008"/>
  <c r="J637"/>
  <c r="I1219"/>
  <c r="I1507"/>
  <c r="H1572"/>
  <c r="H1571" s="1"/>
  <c r="H1570" s="1"/>
  <c r="H1590"/>
  <c r="I1653"/>
  <c r="K1854"/>
  <c r="J1975"/>
  <c r="J1980"/>
  <c r="J1995"/>
  <c r="G2297"/>
  <c r="G2296" s="1"/>
  <c r="G2295" s="1"/>
  <c r="G2294" s="1"/>
  <c r="I2596"/>
  <c r="G2655"/>
  <c r="G2654" s="1"/>
  <c r="G2653" s="1"/>
  <c r="G2652" s="1"/>
  <c r="G2651" s="1"/>
  <c r="G2650" s="1"/>
  <c r="J2681"/>
  <c r="J2680" s="1"/>
  <c r="J2667" s="1"/>
  <c r="J2666" s="1"/>
  <c r="J2665" s="1"/>
  <c r="J2664" s="1"/>
  <c r="K2731"/>
  <c r="H2902"/>
  <c r="H2901" s="1"/>
  <c r="H2900" s="1"/>
  <c r="H2899" s="1"/>
  <c r="H2898" s="1"/>
  <c r="H2897" s="1"/>
  <c r="J2928"/>
  <c r="K181"/>
  <c r="I2377"/>
  <c r="J2973"/>
  <c r="J2972" s="1"/>
  <c r="J2971" s="1"/>
  <c r="J2970" s="1"/>
  <c r="J2969" s="1"/>
  <c r="J41"/>
  <c r="J440"/>
  <c r="I576"/>
  <c r="G906"/>
  <c r="I1116"/>
  <c r="H1089"/>
  <c r="K1605"/>
  <c r="I2199"/>
  <c r="J2471"/>
  <c r="G49"/>
  <c r="K383"/>
  <c r="G615"/>
  <c r="G614" s="1"/>
  <c r="G613" s="1"/>
  <c r="I682"/>
  <c r="H844"/>
  <c r="H1219"/>
  <c r="G2191"/>
  <c r="I2429"/>
  <c r="I2428" s="1"/>
  <c r="I2427" s="1"/>
  <c r="I2426" s="1"/>
  <c r="I2425" s="1"/>
  <c r="G2620"/>
  <c r="J2694"/>
  <c r="J2693" s="1"/>
  <c r="J2692" s="1"/>
  <c r="J2691" s="1"/>
  <c r="J2690" s="1"/>
  <c r="J2689" s="1"/>
  <c r="G2739"/>
  <c r="I2739"/>
  <c r="G2819"/>
  <c r="G2818" s="1"/>
  <c r="G2817" s="1"/>
  <c r="G2816" s="1"/>
  <c r="G2815" s="1"/>
  <c r="G2814" s="1"/>
  <c r="J2872"/>
  <c r="J2871" s="1"/>
  <c r="J2870" s="1"/>
  <c r="J2869" s="1"/>
  <c r="J2868" s="1"/>
  <c r="J2867" s="1"/>
  <c r="J2888"/>
  <c r="J2887" s="1"/>
  <c r="J2886" s="1"/>
  <c r="J2885" s="1"/>
  <c r="J2884" s="1"/>
  <c r="J2883" s="1"/>
  <c r="E1765" i="2"/>
  <c r="E1764" s="1"/>
  <c r="J2112"/>
  <c r="J156" i="1"/>
  <c r="J155" s="1"/>
  <c r="J154" s="1"/>
  <c r="G277"/>
  <c r="G276" s="1"/>
  <c r="H838"/>
  <c r="L838" s="1"/>
  <c r="K1349"/>
  <c r="J383"/>
  <c r="J382" s="1"/>
  <c r="J381" s="1"/>
  <c r="J380" s="1"/>
  <c r="G419"/>
  <c r="G654"/>
  <c r="J704"/>
  <c r="G948"/>
  <c r="G947" s="1"/>
  <c r="G934" s="1"/>
  <c r="J1173"/>
  <c r="J1597"/>
  <c r="I1613"/>
  <c r="I1612" s="1"/>
  <c r="I1611" s="1"/>
  <c r="I1610" s="1"/>
  <c r="J1741"/>
  <c r="J1740" s="1"/>
  <c r="J1739" s="1"/>
  <c r="J1738" s="1"/>
  <c r="J1737" s="1"/>
  <c r="G1985"/>
  <c r="I2471"/>
  <c r="I2872"/>
  <c r="I2871" s="1"/>
  <c r="I2870" s="1"/>
  <c r="I2869" s="1"/>
  <c r="I2868" s="1"/>
  <c r="I2867" s="1"/>
  <c r="J2902"/>
  <c r="J2901" s="1"/>
  <c r="J2900" s="1"/>
  <c r="J2899" s="1"/>
  <c r="J2898" s="1"/>
  <c r="J2897" s="1"/>
  <c r="G20"/>
  <c r="G19" s="1"/>
  <c r="G18" s="1"/>
  <c r="I860"/>
  <c r="I859" s="1"/>
  <c r="K1329"/>
  <c r="H1613"/>
  <c r="H1612" s="1"/>
  <c r="H1611" s="1"/>
  <c r="H1610" s="1"/>
  <c r="J2137"/>
  <c r="J2136" s="1"/>
  <c r="J2715"/>
  <c r="J2714" s="1"/>
  <c r="J2705" s="1"/>
  <c r="J2704" s="1"/>
  <c r="J2703" s="1"/>
  <c r="J2702" s="1"/>
  <c r="G167"/>
  <c r="G440"/>
  <c r="G1162"/>
  <c r="G1161" s="1"/>
  <c r="H1034"/>
  <c r="G2604"/>
  <c r="I508"/>
  <c r="G673"/>
  <c r="J777"/>
  <c r="J776" s="1"/>
  <c r="J1102"/>
  <c r="J1653"/>
  <c r="J1652" s="1"/>
  <c r="G1779"/>
  <c r="G1764" s="1"/>
  <c r="I1779"/>
  <c r="J2199"/>
  <c r="G2239"/>
  <c r="G2238" s="1"/>
  <c r="G2237" s="1"/>
  <c r="G2236" s="1"/>
  <c r="G2235" s="1"/>
  <c r="G2330"/>
  <c r="G2329" s="1"/>
  <c r="G2328" s="1"/>
  <c r="G2327" s="1"/>
  <c r="G2326" s="1"/>
  <c r="H2539"/>
  <c r="J2604"/>
  <c r="J2655"/>
  <c r="J2654" s="1"/>
  <c r="J2653" s="1"/>
  <c r="J2652" s="1"/>
  <c r="J2651" s="1"/>
  <c r="J2650" s="1"/>
  <c r="K2681"/>
  <c r="G2715"/>
  <c r="G2714" s="1"/>
  <c r="G2705" s="1"/>
  <c r="G2704" s="1"/>
  <c r="G2703" s="1"/>
  <c r="G2702" s="1"/>
  <c r="J2781"/>
  <c r="J2780" s="1"/>
  <c r="I2959"/>
  <c r="I2958" s="1"/>
  <c r="I2953" s="1"/>
  <c r="I2952" s="1"/>
  <c r="I2951" s="1"/>
  <c r="I2950" s="1"/>
  <c r="I181"/>
  <c r="I180" s="1"/>
  <c r="H901"/>
  <c r="K1293"/>
  <c r="I1332"/>
  <c r="I2137"/>
  <c r="I2136" s="1"/>
  <c r="J1116"/>
  <c r="I1162"/>
  <c r="I1161" s="1"/>
  <c r="I1089"/>
  <c r="I322" i="2"/>
  <c r="I2112"/>
  <c r="I207"/>
  <c r="I2153"/>
  <c r="I1539"/>
  <c r="E2152"/>
  <c r="I2152" s="1"/>
  <c r="I208"/>
  <c r="I205"/>
  <c r="E206"/>
  <c r="E203" s="1"/>
  <c r="J208"/>
  <c r="I209"/>
  <c r="J209"/>
  <c r="H1508" i="1"/>
  <c r="H1507" s="1"/>
  <c r="H1506" s="1"/>
  <c r="H1505" s="1"/>
  <c r="H1504" s="1"/>
  <c r="E1001" i="2"/>
  <c r="E999" s="1"/>
  <c r="H1458" i="1"/>
  <c r="L1458" s="1"/>
  <c r="H1412"/>
  <c r="H1349"/>
  <c r="H1339"/>
  <c r="L1339" s="1"/>
  <c r="H1299"/>
  <c r="H1204"/>
  <c r="H1203" s="1"/>
  <c r="H1173"/>
  <c r="H1133"/>
  <c r="H1132" s="1"/>
  <c r="H1127"/>
  <c r="H1099"/>
  <c r="J1539" i="2"/>
  <c r="J295"/>
  <c r="I295"/>
  <c r="I251"/>
  <c r="H1075" i="1"/>
  <c r="J278" i="2"/>
  <c r="J297"/>
  <c r="I297"/>
  <c r="J296"/>
  <c r="I296"/>
  <c r="I279"/>
  <c r="E278"/>
  <c r="I278" s="1"/>
  <c r="J280"/>
  <c r="I280"/>
  <c r="J279"/>
  <c r="H1028" i="1"/>
  <c r="L1028" s="1"/>
  <c r="J2118" i="2"/>
  <c r="I2118"/>
  <c r="I680"/>
  <c r="H974" i="1"/>
  <c r="E678" i="2"/>
  <c r="E673" s="1"/>
  <c r="J680"/>
  <c r="J739"/>
  <c r="I740"/>
  <c r="I739"/>
  <c r="E738"/>
  <c r="I738" s="1"/>
  <c r="J738"/>
  <c r="J740"/>
  <c r="E743"/>
  <c r="E742" s="1"/>
  <c r="I742" s="1"/>
  <c r="E762"/>
  <c r="I762" s="1"/>
  <c r="J705"/>
  <c r="I705"/>
  <c r="H816" i="1"/>
  <c r="L816" s="1"/>
  <c r="I679" i="2"/>
  <c r="I676"/>
  <c r="J679"/>
  <c r="I677"/>
  <c r="H805" i="1"/>
  <c r="J791"/>
  <c r="I791"/>
  <c r="G71"/>
  <c r="G70" s="1"/>
  <c r="I1440"/>
  <c r="K673"/>
  <c r="H1281"/>
  <c r="I2510"/>
  <c r="H1013"/>
  <c r="K561"/>
  <c r="E138" i="2"/>
  <c r="E137" s="1"/>
  <c r="I137" s="1"/>
  <c r="H348" i="1"/>
  <c r="H430"/>
  <c r="H523"/>
  <c r="J545"/>
  <c r="J544" s="1"/>
  <c r="H632"/>
  <c r="H631" s="1"/>
  <c r="K1553"/>
  <c r="I1686"/>
  <c r="M1686" s="1"/>
  <c r="I1700"/>
  <c r="M1700" s="1"/>
  <c r="I2041"/>
  <c r="K2739"/>
  <c r="I1127"/>
  <c r="H1379"/>
  <c r="K2330"/>
  <c r="K2349"/>
  <c r="I2694"/>
  <c r="I2693" s="1"/>
  <c r="I2692" s="1"/>
  <c r="I2691" s="1"/>
  <c r="I2690" s="1"/>
  <c r="I2689" s="1"/>
  <c r="K1480"/>
  <c r="K556"/>
  <c r="I144"/>
  <c r="H2723"/>
  <c r="K474"/>
  <c r="L474" s="1"/>
  <c r="K1773"/>
  <c r="H1756"/>
  <c r="J419"/>
  <c r="I470"/>
  <c r="J1572"/>
  <c r="J1571" s="1"/>
  <c r="J1570" s="1"/>
  <c r="I2026"/>
  <c r="K2137"/>
  <c r="L25"/>
  <c r="K301"/>
  <c r="I2239"/>
  <c r="K1521"/>
  <c r="I189"/>
  <c r="I188" s="1"/>
  <c r="I187" s="1"/>
  <c r="K598"/>
  <c r="I616"/>
  <c r="I615" s="1"/>
  <c r="I614" s="1"/>
  <c r="I613" s="1"/>
  <c r="H705"/>
  <c r="L705" s="1"/>
  <c r="H828"/>
  <c r="I948"/>
  <c r="I947" s="1"/>
  <c r="J1058"/>
  <c r="G1803"/>
  <c r="G2539"/>
  <c r="K2915"/>
  <c r="J1044"/>
  <c r="J1043" s="1"/>
  <c r="J1042" s="1"/>
  <c r="I72"/>
  <c r="K784"/>
  <c r="H2959"/>
  <c r="H2958" s="1"/>
  <c r="I689"/>
  <c r="I688" s="1"/>
  <c r="H988"/>
  <c r="H987" s="1"/>
  <c r="I2655"/>
  <c r="H2517"/>
  <c r="H2513" s="1"/>
  <c r="H122"/>
  <c r="H121" s="1"/>
  <c r="M12"/>
  <c r="K11"/>
  <c r="K10" s="1"/>
  <c r="K9" s="1"/>
  <c r="H104"/>
  <c r="H103" s="1"/>
  <c r="H102" s="1"/>
  <c r="H101" s="1"/>
  <c r="I266"/>
  <c r="I265" s="1"/>
  <c r="I264" s="1"/>
  <c r="I258" s="1"/>
  <c r="K505"/>
  <c r="I777"/>
  <c r="I776" s="1"/>
  <c r="K1102"/>
  <c r="I1214"/>
  <c r="H1232"/>
  <c r="H1358"/>
  <c r="K1443"/>
  <c r="I1591"/>
  <c r="K2111"/>
  <c r="K2514"/>
  <c r="K2374"/>
  <c r="I2840"/>
  <c r="I2839" s="1"/>
  <c r="K49"/>
  <c r="I20"/>
  <c r="I19" s="1"/>
  <c r="I18" s="1"/>
  <c r="J655"/>
  <c r="J654" s="1"/>
  <c r="G266"/>
  <c r="G265" s="1"/>
  <c r="G264" s="1"/>
  <c r="G258" s="1"/>
  <c r="J498"/>
  <c r="G777"/>
  <c r="G776" s="1"/>
  <c r="G775" s="1"/>
  <c r="J2829"/>
  <c r="K131"/>
  <c r="K580"/>
  <c r="H396"/>
  <c r="I2593"/>
  <c r="K1317"/>
  <c r="H715"/>
  <c r="L715" s="1"/>
  <c r="E148" i="2"/>
  <c r="E147" s="1"/>
  <c r="I147" s="1"/>
  <c r="K1290" i="1"/>
  <c r="H1761"/>
  <c r="H2506"/>
  <c r="H2505" s="1"/>
  <c r="K2819"/>
  <c r="H1078"/>
  <c r="K2831"/>
  <c r="K160"/>
  <c r="K217"/>
  <c r="H1669"/>
  <c r="L1669" s="1"/>
  <c r="H75"/>
  <c r="I304"/>
  <c r="I501"/>
  <c r="H1376"/>
  <c r="K1918"/>
  <c r="H1985"/>
  <c r="K2026"/>
  <c r="K2036"/>
  <c r="K2051"/>
  <c r="K2056"/>
  <c r="K2061"/>
  <c r="K2081"/>
  <c r="K2091"/>
  <c r="K2836"/>
  <c r="K2845"/>
  <c r="K1275"/>
  <c r="H2615"/>
  <c r="H2614" s="1"/>
  <c r="E1515" i="2"/>
  <c r="E1514" s="1"/>
  <c r="H454" i="1"/>
  <c r="M13"/>
  <c r="K1427"/>
  <c r="K1179"/>
  <c r="I1560"/>
  <c r="I1559" s="1"/>
  <c r="I1558" s="1"/>
  <c r="I1557" s="1"/>
  <c r="I1803"/>
  <c r="K1495"/>
  <c r="K1894"/>
  <c r="I1970"/>
  <c r="H1252"/>
  <c r="H2586"/>
  <c r="H2585" s="1"/>
  <c r="H2584" s="1"/>
  <c r="G1902"/>
  <c r="J2513"/>
  <c r="H1346"/>
  <c r="I1582"/>
  <c r="K2499"/>
  <c r="I2715"/>
  <c r="K2788"/>
  <c r="H181"/>
  <c r="H180" s="1"/>
  <c r="K1942"/>
  <c r="I2191"/>
  <c r="I1287"/>
  <c r="H2715"/>
  <c r="K987"/>
  <c r="I104"/>
  <c r="H781"/>
  <c r="H777" s="1"/>
  <c r="H776" s="1"/>
  <c r="K2256"/>
  <c r="H2509"/>
  <c r="I298"/>
  <c r="H534"/>
  <c r="K1061"/>
  <c r="I1238"/>
  <c r="K1373"/>
  <c r="I2008"/>
  <c r="H2601"/>
  <c r="I2611"/>
  <c r="I2604" s="1"/>
  <c r="K2391"/>
  <c r="K526"/>
  <c r="H1863"/>
  <c r="K1756"/>
  <c r="K2385"/>
  <c r="I1108"/>
  <c r="G2144"/>
  <c r="K2534"/>
  <c r="J566"/>
  <c r="H662"/>
  <c r="L662" s="1"/>
  <c r="E65" i="2"/>
  <c r="E64" s="1"/>
  <c r="H2706" i="1"/>
  <c r="K2795"/>
  <c r="L2795" s="1"/>
  <c r="I2819"/>
  <c r="I2818" s="1"/>
  <c r="I2817" s="1"/>
  <c r="I2816" s="1"/>
  <c r="I2815" s="1"/>
  <c r="I2814" s="1"/>
  <c r="E59" i="2"/>
  <c r="E58" s="1"/>
  <c r="I58" s="1"/>
  <c r="I927" i="1"/>
  <c r="I926" s="1"/>
  <c r="I925" s="1"/>
  <c r="I919" s="1"/>
  <c r="I918" s="1"/>
  <c r="I175"/>
  <c r="G241"/>
  <c r="G240" s="1"/>
  <c r="G235" s="1"/>
  <c r="G234" s="1"/>
  <c r="J322"/>
  <c r="I322"/>
  <c r="H384"/>
  <c r="L384" s="1"/>
  <c r="J757"/>
  <c r="J756" s="1"/>
  <c r="J755" s="1"/>
  <c r="J1123"/>
  <c r="I1203"/>
  <c r="G1720"/>
  <c r="J1862"/>
  <c r="G2031"/>
  <c r="G2051"/>
  <c r="G2071"/>
  <c r="G2091"/>
  <c r="G2872"/>
  <c r="G2871" s="1"/>
  <c r="G2870" s="1"/>
  <c r="G2869" s="1"/>
  <c r="G2868" s="1"/>
  <c r="G2867" s="1"/>
  <c r="J2959"/>
  <c r="J2958" s="1"/>
  <c r="J2953" s="1"/>
  <c r="J2952" s="1"/>
  <c r="J2951" s="1"/>
  <c r="J2950" s="1"/>
  <c r="K892"/>
  <c r="J901"/>
  <c r="J897" s="1"/>
  <c r="K969"/>
  <c r="K1874"/>
  <c r="K595"/>
  <c r="L595" s="1"/>
  <c r="I1573"/>
  <c r="K2777"/>
  <c r="L2777" s="1"/>
  <c r="H2803"/>
  <c r="H2802" s="1"/>
  <c r="H2801" s="1"/>
  <c r="H2800" s="1"/>
  <c r="H2799" s="1"/>
  <c r="K2563"/>
  <c r="K1085"/>
  <c r="K541"/>
  <c r="L541" s="1"/>
  <c r="I2066"/>
  <c r="I2081"/>
  <c r="H2180"/>
  <c r="J2256"/>
  <c r="H2170"/>
  <c r="I2051"/>
  <c r="G647"/>
  <c r="G1491"/>
  <c r="G1490" s="1"/>
  <c r="G1489" s="1"/>
  <c r="G1668"/>
  <c r="K2287"/>
  <c r="H2563"/>
  <c r="H2562" s="1"/>
  <c r="K2955"/>
  <c r="I1096"/>
  <c r="H2624"/>
  <c r="H2623" s="1"/>
  <c r="G1949"/>
  <c r="I655"/>
  <c r="I654" s="1"/>
  <c r="K2736"/>
  <c r="I1065"/>
  <c r="I1953"/>
  <c r="K546"/>
  <c r="L546" s="1"/>
  <c r="I726"/>
  <c r="H898"/>
  <c r="I898"/>
  <c r="K1158"/>
  <c r="K1272"/>
  <c r="I2056"/>
  <c r="I2091"/>
  <c r="H2155"/>
  <c r="G2218"/>
  <c r="J2454"/>
  <c r="J2453" s="1"/>
  <c r="H2165"/>
  <c r="K2297"/>
  <c r="J189"/>
  <c r="J188" s="1"/>
  <c r="J187" s="1"/>
  <c r="J332"/>
  <c r="J408"/>
  <c r="J407" s="1"/>
  <c r="I673"/>
  <c r="I1894"/>
  <c r="I1893" s="1"/>
  <c r="I1892" s="1"/>
  <c r="I1891" s="1"/>
  <c r="J2207"/>
  <c r="J2623"/>
  <c r="J2622" s="1"/>
  <c r="J2621" s="1"/>
  <c r="J2620" s="1"/>
  <c r="K1006"/>
  <c r="I1021"/>
  <c r="I41"/>
  <c r="J127"/>
  <c r="J126" s="1"/>
  <c r="J1070"/>
  <c r="K2851"/>
  <c r="K2959"/>
  <c r="I2731"/>
  <c r="H2751"/>
  <c r="K361"/>
  <c r="D1451" i="2"/>
  <c r="D1450" s="1"/>
  <c r="D1449" s="1"/>
  <c r="D1445" s="1"/>
  <c r="G1251" i="1"/>
  <c r="G1250" s="1"/>
  <c r="G1249" s="1"/>
  <c r="E67" i="2"/>
  <c r="E66" s="1"/>
  <c r="I66" s="1"/>
  <c r="I2076" i="1"/>
  <c r="I2096"/>
  <c r="H2175"/>
  <c r="J2586"/>
  <c r="J2585" s="1"/>
  <c r="J2584" s="1"/>
  <c r="G322"/>
  <c r="J1479"/>
  <c r="J1478" s="1"/>
  <c r="J1477" s="1"/>
  <c r="G1572"/>
  <c r="G1571" s="1"/>
  <c r="G1570" s="1"/>
  <c r="I277"/>
  <c r="I276" s="1"/>
  <c r="I456"/>
  <c r="J456"/>
  <c r="G1116"/>
  <c r="L28"/>
  <c r="J58"/>
  <c r="J71"/>
  <c r="J70" s="1"/>
  <c r="G189"/>
  <c r="G188" s="1"/>
  <c r="G187" s="1"/>
  <c r="G699"/>
  <c r="G714"/>
  <c r="G1338"/>
  <c r="G1265" s="1"/>
  <c r="I1464"/>
  <c r="G1741"/>
  <c r="G1740" s="1"/>
  <c r="G1739" s="1"/>
  <c r="G1738" s="1"/>
  <c r="G1737" s="1"/>
  <c r="I2207"/>
  <c r="J2773"/>
  <c r="J2772" s="1"/>
  <c r="G2829"/>
  <c r="I167"/>
  <c r="G181"/>
  <c r="G180" s="1"/>
  <c r="H1044"/>
  <c r="H1043" s="1"/>
  <c r="H1042" s="1"/>
  <c r="J65" i="2"/>
  <c r="G94" i="1"/>
  <c r="G93" s="1"/>
  <c r="G103"/>
  <c r="G102" s="1"/>
  <c r="G101" s="1"/>
  <c r="I395"/>
  <c r="I394" s="1"/>
  <c r="I393" s="1"/>
  <c r="G508"/>
  <c r="G522"/>
  <c r="G521" s="1"/>
  <c r="G520" s="1"/>
  <c r="G637"/>
  <c r="J1137"/>
  <c r="J1147"/>
  <c r="G1653"/>
  <c r="G1652" s="1"/>
  <c r="G1854"/>
  <c r="J181"/>
  <c r="J180" s="1"/>
  <c r="J449"/>
  <c r="G1682"/>
  <c r="K655"/>
  <c r="M33"/>
  <c r="G332"/>
  <c r="G383"/>
  <c r="G382" s="1"/>
  <c r="G381" s="1"/>
  <c r="G380" s="1"/>
  <c r="I737"/>
  <c r="I736" s="1"/>
  <c r="G1203"/>
  <c r="G1450"/>
  <c r="G1449" s="1"/>
  <c r="I1491"/>
  <c r="I1490" s="1"/>
  <c r="I1489" s="1"/>
  <c r="I1533"/>
  <c r="I1532" s="1"/>
  <c r="J1635"/>
  <c r="I1844"/>
  <c r="H1918"/>
  <c r="H2130"/>
  <c r="H2129" s="1"/>
  <c r="H2128" s="1"/>
  <c r="G2256"/>
  <c r="G2255" s="1"/>
  <c r="G2347"/>
  <c r="K2377"/>
  <c r="K2936"/>
  <c r="G2959"/>
  <c r="G2958" s="1"/>
  <c r="G2953" s="1"/>
  <c r="G2952" s="1"/>
  <c r="G2951" s="1"/>
  <c r="G2950" s="1"/>
  <c r="G999"/>
  <c r="J94"/>
  <c r="J93" s="1"/>
  <c r="J114"/>
  <c r="J113" s="1"/>
  <c r="J112" s="1"/>
  <c r="I426"/>
  <c r="G470"/>
  <c r="J587"/>
  <c r="H598"/>
  <c r="I637"/>
  <c r="J647"/>
  <c r="H682"/>
  <c r="J688"/>
  <c r="J844"/>
  <c r="J821" s="1"/>
  <c r="J1450"/>
  <c r="J1449" s="1"/>
  <c r="J1507"/>
  <c r="J1506" s="1"/>
  <c r="J1505" s="1"/>
  <c r="J1504" s="1"/>
  <c r="I1516"/>
  <c r="H1533"/>
  <c r="H1532" s="1"/>
  <c r="H1581"/>
  <c r="H1580" s="1"/>
  <c r="H1579" s="1"/>
  <c r="G1597"/>
  <c r="J1682"/>
  <c r="I2144"/>
  <c r="I2155"/>
  <c r="I2175"/>
  <c r="I2180"/>
  <c r="J2731"/>
  <c r="J2819"/>
  <c r="J2818" s="1"/>
  <c r="J2817" s="1"/>
  <c r="J2816" s="1"/>
  <c r="J2815" s="1"/>
  <c r="J2814" s="1"/>
  <c r="H2888"/>
  <c r="H2887" s="1"/>
  <c r="H2886" s="1"/>
  <c r="H2885" s="1"/>
  <c r="H2884" s="1"/>
  <c r="H2883" s="1"/>
  <c r="I2902"/>
  <c r="I2901" s="1"/>
  <c r="I2900" s="1"/>
  <c r="I2899" s="1"/>
  <c r="I2898" s="1"/>
  <c r="I2897" s="1"/>
  <c r="G2915"/>
  <c r="G2914" s="1"/>
  <c r="G2913" s="1"/>
  <c r="G2912" s="1"/>
  <c r="G2911" s="1"/>
  <c r="G2910" s="1"/>
  <c r="J2915"/>
  <c r="J2914" s="1"/>
  <c r="J2913" s="1"/>
  <c r="J2912" s="1"/>
  <c r="J2911" s="1"/>
  <c r="J2910" s="1"/>
  <c r="G2928"/>
  <c r="G2927" s="1"/>
  <c r="G2926" s="1"/>
  <c r="G2925" s="1"/>
  <c r="G2924" s="1"/>
  <c r="G2923" s="1"/>
  <c r="J20"/>
  <c r="J19" s="1"/>
  <c r="J18" s="1"/>
  <c r="H545"/>
  <c r="H544" s="1"/>
  <c r="H906"/>
  <c r="J906"/>
  <c r="J2448"/>
  <c r="J2447" s="1"/>
  <c r="J2563"/>
  <c r="J2562" s="1"/>
  <c r="I128"/>
  <c r="G156"/>
  <c r="G155" s="1"/>
  <c r="G154" s="1"/>
  <c r="G2984"/>
  <c r="G2983" s="1"/>
  <c r="G2982" s="1"/>
  <c r="G2981" s="1"/>
  <c r="G2980" s="1"/>
  <c r="I61" i="2"/>
  <c r="J58"/>
  <c r="I62"/>
  <c r="I60"/>
  <c r="J62"/>
  <c r="J66"/>
  <c r="I63"/>
  <c r="J61"/>
  <c r="J59"/>
  <c r="J63"/>
  <c r="J67"/>
  <c r="H757" i="1"/>
  <c r="H756" s="1"/>
  <c r="H755" s="1"/>
  <c r="H737"/>
  <c r="H736" s="1"/>
  <c r="H732"/>
  <c r="H731" s="1"/>
  <c r="E163" i="2"/>
  <c r="E162" s="1"/>
  <c r="E161" s="1"/>
  <c r="H727" i="1"/>
  <c r="H726" s="1"/>
  <c r="H664"/>
  <c r="L664" s="1"/>
  <c r="H656"/>
  <c r="H651"/>
  <c r="H641"/>
  <c r="H624"/>
  <c r="H616"/>
  <c r="H608"/>
  <c r="I28" i="2"/>
  <c r="I30"/>
  <c r="I29"/>
  <c r="H587" i="1"/>
  <c r="I19" i="2"/>
  <c r="I21"/>
  <c r="I20"/>
  <c r="J675"/>
  <c r="I674"/>
  <c r="I675"/>
  <c r="J674"/>
  <c r="I39"/>
  <c r="I118"/>
  <c r="I38"/>
  <c r="I120"/>
  <c r="I119"/>
  <c r="I270"/>
  <c r="I727"/>
  <c r="J270"/>
  <c r="I1080"/>
  <c r="D1441"/>
  <c r="D1436" s="1"/>
  <c r="D1435" s="1"/>
  <c r="D1932"/>
  <c r="D1931" s="1"/>
  <c r="E37"/>
  <c r="E36" s="1"/>
  <c r="I631"/>
  <c r="J771"/>
  <c r="J1716"/>
  <c r="I506"/>
  <c r="I1077"/>
  <c r="J1306"/>
  <c r="J52"/>
  <c r="J1432"/>
  <c r="J652"/>
  <c r="J603"/>
  <c r="E93"/>
  <c r="D1110"/>
  <c r="D1107" s="1"/>
  <c r="I522"/>
  <c r="I276"/>
  <c r="D1506"/>
  <c r="D1499" s="1"/>
  <c r="I816"/>
  <c r="J655"/>
  <c r="J526"/>
  <c r="J506"/>
  <c r="J490"/>
  <c r="I1327"/>
  <c r="I342"/>
  <c r="D1748"/>
  <c r="D1743" s="1"/>
  <c r="D1742" s="1"/>
  <c r="D1700"/>
  <c r="D1699" s="1"/>
  <c r="D56"/>
  <c r="I766"/>
  <c r="J317"/>
  <c r="J185"/>
  <c r="I435"/>
  <c r="I179"/>
  <c r="J1068"/>
  <c r="J283"/>
  <c r="J147"/>
  <c r="I195"/>
  <c r="E630"/>
  <c r="E627" s="1"/>
  <c r="I344"/>
  <c r="J369"/>
  <c r="J762"/>
  <c r="I778"/>
  <c r="I733"/>
  <c r="I896"/>
  <c r="J191"/>
  <c r="J653"/>
  <c r="J865"/>
  <c r="J344"/>
  <c r="I773"/>
  <c r="I1055"/>
  <c r="E403"/>
  <c r="I70"/>
  <c r="I326"/>
  <c r="I1941"/>
  <c r="J150"/>
  <c r="I1637"/>
  <c r="I1799"/>
  <c r="J1574"/>
  <c r="I436"/>
  <c r="J965"/>
  <c r="J878"/>
  <c r="I1171"/>
  <c r="I990"/>
  <c r="I538"/>
  <c r="J1308"/>
  <c r="J137"/>
  <c r="J538"/>
  <c r="I290"/>
  <c r="I1184"/>
  <c r="J994"/>
  <c r="J396"/>
  <c r="I1217"/>
  <c r="J2073"/>
  <c r="I214"/>
  <c r="J1203"/>
  <c r="I88"/>
  <c r="J1717"/>
  <c r="I1210"/>
  <c r="J1770"/>
  <c r="J658"/>
  <c r="J43"/>
  <c r="J142"/>
  <c r="I1612"/>
  <c r="I1814"/>
  <c r="J573"/>
  <c r="J452"/>
  <c r="I1967"/>
  <c r="D124"/>
  <c r="I1462"/>
  <c r="E124"/>
  <c r="I413"/>
  <c r="I76"/>
  <c r="I1088"/>
  <c r="J1712"/>
  <c r="I879"/>
  <c r="J110"/>
  <c r="J2078"/>
  <c r="J1498"/>
  <c r="J1968"/>
  <c r="I184"/>
  <c r="J53"/>
  <c r="I1082"/>
  <c r="I1583"/>
  <c r="I155"/>
  <c r="I1237"/>
  <c r="I95"/>
  <c r="I450"/>
  <c r="I852"/>
  <c r="I2107"/>
  <c r="J1409"/>
  <c r="J813"/>
  <c r="J568"/>
  <c r="J294"/>
  <c r="D1335"/>
  <c r="D1331" s="1"/>
  <c r="I484"/>
  <c r="I1160"/>
  <c r="J507"/>
  <c r="I528"/>
  <c r="I802"/>
  <c r="J470"/>
  <c r="J100"/>
  <c r="J79"/>
  <c r="J2108"/>
  <c r="I43"/>
  <c r="I47"/>
  <c r="I317"/>
  <c r="I2007"/>
  <c r="I1973"/>
  <c r="I1216"/>
  <c r="J1433"/>
  <c r="I1960"/>
  <c r="I215"/>
  <c r="I145"/>
  <c r="J1198"/>
  <c r="J1974"/>
  <c r="I946"/>
  <c r="E2039"/>
  <c r="J1773"/>
  <c r="I583"/>
  <c r="J27"/>
  <c r="D351"/>
  <c r="D2106"/>
  <c r="I775"/>
  <c r="I1581"/>
  <c r="D1883"/>
  <c r="H500" i="1"/>
  <c r="E1255" i="2"/>
  <c r="E1254" s="1"/>
  <c r="I1254" s="1"/>
  <c r="E1251"/>
  <c r="E1250" s="1"/>
  <c r="I1250" s="1"/>
  <c r="H481" i="1"/>
  <c r="E1518" i="2"/>
  <c r="E1517" s="1"/>
  <c r="E1516" s="1"/>
  <c r="E1511"/>
  <c r="E1510" s="1"/>
  <c r="E1498"/>
  <c r="I1498" s="1"/>
  <c r="H441" i="1"/>
  <c r="L441" s="1"/>
  <c r="I1484" i="2"/>
  <c r="H413" i="1"/>
  <c r="I1460" i="2"/>
  <c r="E1508"/>
  <c r="E1506" s="1"/>
  <c r="H342" i="1"/>
  <c r="H317"/>
  <c r="H316" s="1"/>
  <c r="I1959" i="2"/>
  <c r="H271" i="1"/>
  <c r="L271" s="1"/>
  <c r="I1558" i="2"/>
  <c r="H254" i="1"/>
  <c r="E1550" i="2"/>
  <c r="I1550" s="1"/>
  <c r="H242" i="1"/>
  <c r="L242" s="1"/>
  <c r="H229"/>
  <c r="H228" s="1"/>
  <c r="H227" s="1"/>
  <c r="H226" s="1"/>
  <c r="H225" s="1"/>
  <c r="I1296" i="2"/>
  <c r="K198" i="1"/>
  <c r="J175"/>
  <c r="H175"/>
  <c r="H167"/>
  <c r="H156"/>
  <c r="J2114" i="2"/>
  <c r="H145" i="1"/>
  <c r="H144" s="1"/>
  <c r="J144"/>
  <c r="I224" i="2"/>
  <c r="I225"/>
  <c r="I223"/>
  <c r="I458"/>
  <c r="J2094"/>
  <c r="I1021"/>
  <c r="I2002"/>
  <c r="I226"/>
  <c r="J370"/>
  <c r="J519"/>
  <c r="J1057"/>
  <c r="I1634"/>
  <c r="J1462"/>
  <c r="J859"/>
  <c r="J621"/>
  <c r="J446"/>
  <c r="I1294"/>
  <c r="I311"/>
  <c r="J232"/>
  <c r="J342"/>
  <c r="I1275"/>
  <c r="J217"/>
  <c r="I488"/>
  <c r="I1461"/>
  <c r="J1117"/>
  <c r="I728"/>
  <c r="I1529"/>
  <c r="I1272"/>
  <c r="J54"/>
  <c r="J554"/>
  <c r="J489"/>
  <c r="I962"/>
  <c r="I1433"/>
  <c r="J750"/>
  <c r="I685"/>
  <c r="J1749"/>
  <c r="J1719"/>
  <c r="J820"/>
  <c r="J714"/>
  <c r="J588"/>
  <c r="J576"/>
  <c r="J571"/>
  <c r="J503"/>
  <c r="I483"/>
  <c r="J2079"/>
  <c r="I313"/>
  <c r="I1984"/>
  <c r="J1894"/>
  <c r="D535"/>
  <c r="D131"/>
  <c r="D107"/>
  <c r="D2082"/>
  <c r="D2081" s="1"/>
  <c r="D1548"/>
  <c r="D1541" s="1"/>
  <c r="I135"/>
  <c r="J219"/>
  <c r="I1458"/>
  <c r="J1776"/>
  <c r="J1086"/>
  <c r="J592"/>
  <c r="J394"/>
  <c r="J2041"/>
  <c r="E1054"/>
  <c r="I1054" s="1"/>
  <c r="I250"/>
  <c r="I361"/>
  <c r="I1843"/>
  <c r="J111"/>
  <c r="I599"/>
  <c r="J1083"/>
  <c r="J1448"/>
  <c r="J1583"/>
  <c r="J1994"/>
  <c r="I635"/>
  <c r="I662"/>
  <c r="I1750"/>
  <c r="J1092"/>
  <c r="J718"/>
  <c r="J513"/>
  <c r="J139"/>
  <c r="J95"/>
  <c r="I1519"/>
  <c r="J1494"/>
  <c r="J245"/>
  <c r="I229"/>
  <c r="J210"/>
  <c r="I1991"/>
  <c r="J761"/>
  <c r="E2136"/>
  <c r="E2135" s="1"/>
  <c r="J1146"/>
  <c r="J222"/>
  <c r="I397"/>
  <c r="I242"/>
  <c r="J242"/>
  <c r="I1520"/>
  <c r="I1495"/>
  <c r="I723"/>
  <c r="I262"/>
  <c r="I144"/>
  <c r="E1225"/>
  <c r="J272"/>
  <c r="J514"/>
  <c r="J532"/>
  <c r="J2074"/>
  <c r="J1478"/>
  <c r="J1439"/>
  <c r="J1424"/>
  <c r="J871"/>
  <c r="J587"/>
  <c r="J553"/>
  <c r="J541"/>
  <c r="J293"/>
  <c r="I127"/>
  <c r="J1307"/>
  <c r="I1293"/>
  <c r="J1508"/>
  <c r="I52"/>
  <c r="I325"/>
  <c r="I231"/>
  <c r="D868"/>
  <c r="D795" s="1"/>
  <c r="D2098"/>
  <c r="D2097" s="1"/>
  <c r="I2023"/>
  <c r="I2024"/>
  <c r="I1855"/>
  <c r="E1267"/>
  <c r="I1268"/>
  <c r="J16"/>
  <c r="I1301"/>
  <c r="I1566"/>
  <c r="E1236"/>
  <c r="E1235" s="1"/>
  <c r="E1159"/>
  <c r="E1158" s="1"/>
  <c r="J320"/>
  <c r="J453"/>
  <c r="I655"/>
  <c r="J874"/>
  <c r="J944"/>
  <c r="I1337"/>
  <c r="I1378"/>
  <c r="J1622"/>
  <c r="J1861"/>
  <c r="E580"/>
  <c r="J654"/>
  <c r="J2119"/>
  <c r="J322"/>
  <c r="I1220"/>
  <c r="J1893"/>
  <c r="D713"/>
  <c r="D712" s="1"/>
  <c r="D708" s="1"/>
  <c r="D630"/>
  <c r="D627" s="1"/>
  <c r="D2111"/>
  <c r="I1571"/>
  <c r="I1549"/>
  <c r="E143"/>
  <c r="I734"/>
  <c r="I212"/>
  <c r="J18"/>
  <c r="J419"/>
  <c r="J539"/>
  <c r="J178"/>
  <c r="I837"/>
  <c r="J831"/>
  <c r="J1018"/>
  <c r="I1179"/>
  <c r="I1373"/>
  <c r="J1899"/>
  <c r="J2076"/>
  <c r="I542"/>
  <c r="E560"/>
  <c r="I598"/>
  <c r="I1081"/>
  <c r="I1100"/>
  <c r="I1592"/>
  <c r="J1458"/>
  <c r="I715"/>
  <c r="J602"/>
  <c r="J416"/>
  <c r="J101"/>
  <c r="J91"/>
  <c r="J2075"/>
  <c r="I368"/>
  <c r="I1282"/>
  <c r="J306"/>
  <c r="I310"/>
  <c r="I249"/>
  <c r="I1979"/>
  <c r="J1223"/>
  <c r="D1491"/>
  <c r="D1225"/>
  <c r="D1139"/>
  <c r="D1138" s="1"/>
  <c r="J190"/>
  <c r="J1572"/>
  <c r="J1550"/>
  <c r="I1035"/>
  <c r="I584"/>
  <c r="J822"/>
  <c r="I1402"/>
  <c r="I1307"/>
  <c r="J80"/>
  <c r="I302"/>
  <c r="I788"/>
  <c r="I1994"/>
  <c r="E895"/>
  <c r="E894" s="1"/>
  <c r="I894" s="1"/>
  <c r="I2119"/>
  <c r="J436"/>
  <c r="J646"/>
  <c r="E945"/>
  <c r="I945" s="1"/>
  <c r="J843"/>
  <c r="J1341"/>
  <c r="J788"/>
  <c r="I646"/>
  <c r="I756"/>
  <c r="I1404"/>
  <c r="E1590"/>
  <c r="E1806"/>
  <c r="E1805" s="1"/>
  <c r="I2026"/>
  <c r="I2110"/>
  <c r="I1943"/>
  <c r="I1865"/>
  <c r="J1082"/>
  <c r="I632"/>
  <c r="J518"/>
  <c r="J92"/>
  <c r="J164"/>
  <c r="I1494"/>
  <c r="I327"/>
  <c r="E183"/>
  <c r="E182" s="1"/>
  <c r="I770"/>
  <c r="I287"/>
  <c r="I1493"/>
  <c r="J1555"/>
  <c r="J159"/>
  <c r="J1119"/>
  <c r="J1477"/>
  <c r="J1050"/>
  <c r="I196"/>
  <c r="I171"/>
  <c r="I1018"/>
  <c r="E1940"/>
  <c r="I1940" s="1"/>
  <c r="I235"/>
  <c r="E1182"/>
  <c r="I1478"/>
  <c r="I1848"/>
  <c r="E2092"/>
  <c r="E2091" s="1"/>
  <c r="J430"/>
  <c r="I18"/>
  <c r="I663"/>
  <c r="J1004"/>
  <c r="J962"/>
  <c r="J1322"/>
  <c r="J779"/>
  <c r="I512"/>
  <c r="I532"/>
  <c r="I669"/>
  <c r="I1853"/>
  <c r="J1845"/>
  <c r="J1702"/>
  <c r="J1629"/>
  <c r="J1179"/>
  <c r="J1149"/>
  <c r="I1008"/>
  <c r="I893"/>
  <c r="J597"/>
  <c r="J486"/>
  <c r="J480"/>
  <c r="J472"/>
  <c r="J76"/>
  <c r="I376"/>
  <c r="J1993"/>
  <c r="I185"/>
  <c r="E289"/>
  <c r="E288" s="1"/>
  <c r="J561"/>
  <c r="I767"/>
  <c r="I197"/>
  <c r="E535"/>
  <c r="J1440"/>
  <c r="I343"/>
  <c r="I385"/>
  <c r="I323"/>
  <c r="I771"/>
  <c r="I1266"/>
  <c r="I362"/>
  <c r="I1947"/>
  <c r="I294"/>
  <c r="J212"/>
  <c r="I502"/>
  <c r="I511"/>
  <c r="J527"/>
  <c r="I589"/>
  <c r="J995"/>
  <c r="I947"/>
  <c r="J1177"/>
  <c r="J1614"/>
  <c r="I548"/>
  <c r="E565"/>
  <c r="I865"/>
  <c r="I889"/>
  <c r="J1908"/>
  <c r="I1808"/>
  <c r="J1208"/>
  <c r="I1052"/>
  <c r="I970"/>
  <c r="I629"/>
  <c r="J625"/>
  <c r="J521"/>
  <c r="I467"/>
  <c r="J144"/>
  <c r="J2026"/>
  <c r="J2100"/>
  <c r="I1315"/>
  <c r="D1455"/>
  <c r="D1454" s="1"/>
  <c r="D1067"/>
  <c r="D1058" s="1"/>
  <c r="D996"/>
  <c r="D580"/>
  <c r="D540"/>
  <c r="D482"/>
  <c r="D324"/>
  <c r="D321" s="1"/>
  <c r="J192"/>
  <c r="I791"/>
  <c r="I1662"/>
  <c r="E1658"/>
  <c r="I735"/>
  <c r="I736"/>
  <c r="I1377"/>
  <c r="E1376"/>
  <c r="I1376" s="1"/>
  <c r="I1528"/>
  <c r="I1033"/>
  <c r="I1034"/>
  <c r="I886"/>
  <c r="I221"/>
  <c r="J221"/>
  <c r="J488"/>
  <c r="I1690"/>
  <c r="I1152"/>
  <c r="I1193"/>
  <c r="J774"/>
  <c r="I1568"/>
  <c r="J196"/>
  <c r="I1096"/>
  <c r="I1689"/>
  <c r="J529"/>
  <c r="I415"/>
  <c r="I234"/>
  <c r="D434"/>
  <c r="I1481"/>
  <c r="J1023"/>
  <c r="I1424"/>
  <c r="J1423"/>
  <c r="J2083"/>
  <c r="J375"/>
  <c r="J1220"/>
  <c r="I758"/>
  <c r="J376"/>
  <c r="I123"/>
  <c r="I880"/>
  <c r="J148"/>
  <c r="J197"/>
  <c r="J574"/>
  <c r="J1166"/>
  <c r="J1946"/>
  <c r="I2102"/>
  <c r="J1838"/>
  <c r="J311"/>
  <c r="I369"/>
  <c r="I1145"/>
  <c r="E1854"/>
  <c r="E1850" s="1"/>
  <c r="I333"/>
  <c r="I1525"/>
  <c r="J271"/>
  <c r="I356"/>
  <c r="I54"/>
  <c r="I1311"/>
  <c r="I253"/>
  <c r="I252"/>
  <c r="I792"/>
  <c r="I312"/>
  <c r="I164"/>
  <c r="I1053"/>
  <c r="I165"/>
  <c r="J964"/>
  <c r="I1660"/>
  <c r="I15"/>
  <c r="J160"/>
  <c r="J262"/>
  <c r="J397"/>
  <c r="J542"/>
  <c r="J471"/>
  <c r="I468"/>
  <c r="J484"/>
  <c r="J649"/>
  <c r="J858"/>
  <c r="I1287"/>
  <c r="J1231"/>
  <c r="I1283"/>
  <c r="I1323"/>
  <c r="J1774"/>
  <c r="I463"/>
  <c r="E983"/>
  <c r="I2108"/>
  <c r="J1591"/>
  <c r="J1112"/>
  <c r="J1046"/>
  <c r="J465"/>
  <c r="I405"/>
  <c r="I98"/>
  <c r="J2057"/>
  <c r="I1304"/>
  <c r="J1519"/>
  <c r="I384"/>
  <c r="J383"/>
  <c r="E241"/>
  <c r="I241" s="1"/>
  <c r="J249"/>
  <c r="E2006"/>
  <c r="D1939"/>
  <c r="J1154"/>
  <c r="J645"/>
  <c r="I1999"/>
  <c r="I1579"/>
  <c r="I776"/>
  <c r="I126"/>
  <c r="J117"/>
  <c r="J564"/>
  <c r="J1096"/>
  <c r="I1317"/>
  <c r="J1178"/>
  <c r="J736"/>
  <c r="I1985"/>
  <c r="I1923"/>
  <c r="J15"/>
  <c r="J622"/>
  <c r="I1308"/>
  <c r="I573"/>
  <c r="J427"/>
  <c r="I378"/>
  <c r="J211"/>
  <c r="I128"/>
  <c r="I737"/>
  <c r="I328"/>
  <c r="I277"/>
  <c r="I1992"/>
  <c r="I357"/>
  <c r="I1971"/>
  <c r="I1166"/>
  <c r="J606"/>
  <c r="I1980"/>
  <c r="I1487"/>
  <c r="I150"/>
  <c r="I285"/>
  <c r="J304"/>
  <c r="J138"/>
  <c r="J109"/>
  <c r="J126"/>
  <c r="J413"/>
  <c r="I529"/>
  <c r="J607"/>
  <c r="J572"/>
  <c r="J552"/>
  <c r="I557"/>
  <c r="J223"/>
  <c r="I976"/>
  <c r="I965"/>
  <c r="J819"/>
  <c r="J1078"/>
  <c r="I1316"/>
  <c r="I1329"/>
  <c r="J1429"/>
  <c r="J1573"/>
  <c r="J734"/>
  <c r="J2031"/>
  <c r="I14"/>
  <c r="I613"/>
  <c r="I1749"/>
  <c r="J2142"/>
  <c r="J1342"/>
  <c r="J1090"/>
  <c r="J669"/>
  <c r="J605"/>
  <c r="J145"/>
  <c r="J88"/>
  <c r="J2044"/>
  <c r="E600"/>
  <c r="J881"/>
  <c r="J1194"/>
  <c r="J1085"/>
  <c r="D341"/>
  <c r="D340" s="1"/>
  <c r="I1146"/>
  <c r="J1165"/>
  <c r="J1193"/>
  <c r="I1326"/>
  <c r="I1797"/>
  <c r="I1864"/>
  <c r="J1605"/>
  <c r="J2096"/>
  <c r="I1914"/>
  <c r="I1328"/>
  <c r="I101"/>
  <c r="J468"/>
  <c r="J990"/>
  <c r="I1231"/>
  <c r="I594"/>
  <c r="J942"/>
  <c r="I645"/>
  <c r="J2095"/>
  <c r="J1321"/>
  <c r="I1567"/>
  <c r="I1582"/>
  <c r="J195"/>
  <c r="I181"/>
  <c r="I1574"/>
  <c r="I156"/>
  <c r="I1580"/>
  <c r="I86"/>
  <c r="I768"/>
  <c r="I191"/>
  <c r="I759"/>
  <c r="I314"/>
  <c r="I1011"/>
  <c r="J821"/>
  <c r="I2059"/>
  <c r="J1396"/>
  <c r="J307"/>
  <c r="I507"/>
  <c r="J473"/>
  <c r="J512"/>
  <c r="J567"/>
  <c r="J866"/>
  <c r="J1022"/>
  <c r="E1209"/>
  <c r="I1209" s="1"/>
  <c r="J1323"/>
  <c r="J1549"/>
  <c r="J1556"/>
  <c r="I1691"/>
  <c r="I1974"/>
  <c r="J1885"/>
  <c r="J2110"/>
  <c r="I552"/>
  <c r="I658"/>
  <c r="I1397"/>
  <c r="I2020"/>
  <c r="J1868"/>
  <c r="J1428"/>
  <c r="I1356"/>
  <c r="J1340"/>
  <c r="J829"/>
  <c r="I2041"/>
  <c r="J1216"/>
  <c r="J787"/>
  <c r="I755"/>
  <c r="I189"/>
  <c r="J1317"/>
  <c r="I1022"/>
  <c r="I217"/>
  <c r="I377"/>
  <c r="J1299"/>
  <c r="J1410"/>
  <c r="I157"/>
  <c r="I779"/>
  <c r="E888"/>
  <c r="I888" s="1"/>
  <c r="I2057"/>
  <c r="I91"/>
  <c r="J252"/>
  <c r="I1286"/>
  <c r="J1596"/>
  <c r="I1970"/>
  <c r="I219"/>
  <c r="I53"/>
  <c r="I180"/>
  <c r="E1477"/>
  <c r="E1842"/>
  <c r="I1842" s="1"/>
  <c r="I46"/>
  <c r="I371"/>
  <c r="I334"/>
  <c r="J860"/>
  <c r="I2030"/>
  <c r="J1456"/>
  <c r="I1263"/>
  <c r="E682"/>
  <c r="J323"/>
  <c r="J253"/>
  <c r="J123"/>
  <c r="J577"/>
  <c r="J377"/>
  <c r="J599"/>
  <c r="J938"/>
  <c r="I867"/>
  <c r="I881"/>
  <c r="I1105"/>
  <c r="I1086"/>
  <c r="I1194"/>
  <c r="J1495"/>
  <c r="J1941"/>
  <c r="J1971"/>
  <c r="J2084"/>
  <c r="E551"/>
  <c r="I551" s="1"/>
  <c r="I807"/>
  <c r="I2044"/>
  <c r="J1804"/>
  <c r="J1254"/>
  <c r="J1081"/>
  <c r="J960"/>
  <c r="J632"/>
  <c r="I1309"/>
  <c r="J247"/>
  <c r="D1079"/>
  <c r="D1076" s="1"/>
  <c r="D618"/>
  <c r="D590"/>
  <c r="D400"/>
  <c r="D213"/>
  <c r="J773"/>
  <c r="I1572"/>
  <c r="I1246"/>
  <c r="I1247"/>
  <c r="I218"/>
  <c r="J218"/>
  <c r="J1639"/>
  <c r="I1639"/>
  <c r="E1720"/>
  <c r="E1715" s="1"/>
  <c r="I1721"/>
  <c r="I1789"/>
  <c r="J1790"/>
  <c r="I1790"/>
  <c r="J1728"/>
  <c r="J1729"/>
  <c r="I1187"/>
  <c r="J1186"/>
  <c r="J1187"/>
  <c r="I1113"/>
  <c r="J1114"/>
  <c r="J1040"/>
  <c r="J463"/>
  <c r="J2085"/>
  <c r="J2086"/>
  <c r="J310"/>
  <c r="J1999"/>
  <c r="J1998"/>
  <c r="I744"/>
  <c r="I745"/>
  <c r="J745"/>
  <c r="J1562"/>
  <c r="I1922"/>
  <c r="J1923"/>
  <c r="I1886"/>
  <c r="J1887"/>
  <c r="J1784"/>
  <c r="J852"/>
  <c r="J508"/>
  <c r="I509"/>
  <c r="J456"/>
  <c r="J455"/>
  <c r="J438"/>
  <c r="J412"/>
  <c r="I412"/>
  <c r="J122"/>
  <c r="J1507"/>
  <c r="J742"/>
  <c r="J743"/>
  <c r="J725"/>
  <c r="J1553"/>
  <c r="I1553"/>
  <c r="E432"/>
  <c r="I433"/>
  <c r="I1784"/>
  <c r="E1783"/>
  <c r="E1782" s="1"/>
  <c r="E2127"/>
  <c r="I2127" s="1"/>
  <c r="I2128"/>
  <c r="J1909"/>
  <c r="I1909"/>
  <c r="I1623"/>
  <c r="I1624"/>
  <c r="J1200"/>
  <c r="J928"/>
  <c r="J929"/>
  <c r="J833"/>
  <c r="J834"/>
  <c r="J633"/>
  <c r="J331"/>
  <c r="J647"/>
  <c r="I1310"/>
  <c r="J343"/>
  <c r="I139"/>
  <c r="J75"/>
  <c r="J152"/>
  <c r="I75"/>
  <c r="E457"/>
  <c r="J569"/>
  <c r="J466"/>
  <c r="I649"/>
  <c r="J635"/>
  <c r="I938"/>
  <c r="J1217"/>
  <c r="E1636"/>
  <c r="I1981"/>
  <c r="E13"/>
  <c r="E1396"/>
  <c r="I1396" s="1"/>
  <c r="I1766"/>
  <c r="J1056"/>
  <c r="I628"/>
  <c r="I122"/>
  <c r="I80"/>
  <c r="E99"/>
  <c r="E96" s="1"/>
  <c r="I286"/>
  <c r="I271"/>
  <c r="I787"/>
  <c r="I240"/>
  <c r="I1459"/>
  <c r="I331"/>
  <c r="I106"/>
  <c r="E661"/>
  <c r="I661" s="1"/>
  <c r="I1416"/>
  <c r="E2043"/>
  <c r="E2042" s="1"/>
  <c r="I284"/>
  <c r="I2079"/>
  <c r="J305"/>
  <c r="I451"/>
  <c r="I539"/>
  <c r="J604"/>
  <c r="J250"/>
  <c r="J248"/>
  <c r="E644"/>
  <c r="J537"/>
  <c r="J979"/>
  <c r="I887"/>
  <c r="J961"/>
  <c r="I1040"/>
  <c r="J1051"/>
  <c r="I1141"/>
  <c r="J1160"/>
  <c r="J1459"/>
  <c r="J1520"/>
  <c r="J1771"/>
  <c r="J1745"/>
  <c r="J1877"/>
  <c r="J1837"/>
  <c r="J1803"/>
  <c r="I916"/>
  <c r="J715"/>
  <c r="J151"/>
  <c r="J2099"/>
  <c r="D1523"/>
  <c r="D600"/>
  <c r="D292"/>
  <c r="D291" s="1"/>
  <c r="J746"/>
  <c r="J747"/>
  <c r="J729"/>
  <c r="J730"/>
  <c r="I801"/>
  <c r="E800"/>
  <c r="J1422"/>
  <c r="J1184"/>
  <c r="I878"/>
  <c r="I544"/>
  <c r="J544"/>
  <c r="J475"/>
  <c r="J476"/>
  <c r="I476"/>
  <c r="J457"/>
  <c r="J458"/>
  <c r="E1303"/>
  <c r="E1300" s="1"/>
  <c r="I1306"/>
  <c r="I1497"/>
  <c r="E445"/>
  <c r="I445" s="1"/>
  <c r="I446"/>
  <c r="J1060"/>
  <c r="J1952"/>
  <c r="I1835"/>
  <c r="I1836"/>
  <c r="J1446"/>
  <c r="J1447"/>
  <c r="J1055"/>
  <c r="J1054"/>
  <c r="I966"/>
  <c r="I968"/>
  <c r="J640"/>
  <c r="J596"/>
  <c r="I597"/>
  <c r="J516"/>
  <c r="J517"/>
  <c r="J502"/>
  <c r="J493"/>
  <c r="J494"/>
  <c r="I429"/>
  <c r="I430"/>
  <c r="J70"/>
  <c r="J14"/>
  <c r="J2030"/>
  <c r="J1293"/>
  <c r="J46"/>
  <c r="J45"/>
  <c r="J318"/>
  <c r="J319"/>
  <c r="I232"/>
  <c r="E230"/>
  <c r="E227" s="1"/>
  <c r="I1792"/>
  <c r="I1305"/>
  <c r="J194"/>
  <c r="J536"/>
  <c r="I1804"/>
  <c r="J2067"/>
  <c r="E634"/>
  <c r="E633" s="1"/>
  <c r="I956"/>
  <c r="I1112"/>
  <c r="J528"/>
  <c r="J2093"/>
  <c r="I210"/>
  <c r="I370"/>
  <c r="I222"/>
  <c r="I140"/>
  <c r="I725"/>
  <c r="E149"/>
  <c r="I149" s="1"/>
  <c r="I248"/>
  <c r="I1154"/>
  <c r="I220"/>
  <c r="J648"/>
  <c r="J943"/>
  <c r="J1582"/>
  <c r="E1271"/>
  <c r="E1270" s="1"/>
  <c r="I1270" s="1"/>
  <c r="J116"/>
  <c r="J235"/>
  <c r="J395"/>
  <c r="I549"/>
  <c r="J634"/>
  <c r="J1053"/>
  <c r="J1228"/>
  <c r="I1405"/>
  <c r="J1497"/>
  <c r="I1678"/>
  <c r="J1914"/>
  <c r="J1954"/>
  <c r="J737"/>
  <c r="J2058"/>
  <c r="J2113"/>
  <c r="E612"/>
  <c r="E684"/>
  <c r="J2107"/>
  <c r="J1750"/>
  <c r="J108"/>
  <c r="J241"/>
  <c r="I1968"/>
  <c r="J1205"/>
  <c r="J1206"/>
  <c r="J153"/>
  <c r="J154"/>
  <c r="I316"/>
  <c r="J316"/>
  <c r="J256"/>
  <c r="I265"/>
  <c r="I177"/>
  <c r="J177"/>
  <c r="E428"/>
  <c r="I1787"/>
  <c r="J533"/>
  <c r="J534"/>
  <c r="J2131"/>
  <c r="J1571"/>
  <c r="I2115"/>
  <c r="E2114"/>
  <c r="I2114" s="1"/>
  <c r="I17"/>
  <c r="E16"/>
  <c r="I16" s="1"/>
  <c r="I819"/>
  <c r="E818"/>
  <c r="E817" s="1"/>
  <c r="E883"/>
  <c r="I883" s="1"/>
  <c r="I884"/>
  <c r="E1630"/>
  <c r="E1629" s="1"/>
  <c r="I1631"/>
  <c r="I1802"/>
  <c r="I1803"/>
  <c r="J1417"/>
  <c r="J1353"/>
  <c r="J1237"/>
  <c r="I1124"/>
  <c r="I998"/>
  <c r="J920"/>
  <c r="I815"/>
  <c r="J816"/>
  <c r="I591"/>
  <c r="I592"/>
  <c r="J563"/>
  <c r="I564"/>
  <c r="J546"/>
  <c r="J547"/>
  <c r="J411"/>
  <c r="I411"/>
  <c r="J2102"/>
  <c r="J163"/>
  <c r="E1921"/>
  <c r="E924"/>
  <c r="J2109"/>
  <c r="J371"/>
  <c r="J594"/>
  <c r="J902"/>
  <c r="I1648"/>
  <c r="I559"/>
  <c r="E657"/>
  <c r="E656" s="1"/>
  <c r="I656" s="1"/>
  <c r="E2116"/>
  <c r="I1153"/>
  <c r="I1573"/>
  <c r="J82" i="1"/>
  <c r="J81" s="1"/>
  <c r="I272" i="2"/>
  <c r="E1847"/>
  <c r="E1844" s="1"/>
  <c r="I160"/>
  <c r="I1269"/>
  <c r="I81"/>
  <c r="I48"/>
  <c r="I1993"/>
  <c r="I731"/>
  <c r="J193"/>
  <c r="I1934"/>
  <c r="I1507"/>
  <c r="I1248"/>
  <c r="J220"/>
  <c r="J89"/>
  <c r="J491"/>
  <c r="I562"/>
  <c r="J509"/>
  <c r="J956"/>
  <c r="I1046"/>
  <c r="J1080"/>
  <c r="I1342"/>
  <c r="J1305"/>
  <c r="J1597"/>
  <c r="J1532"/>
  <c r="J1631"/>
  <c r="J1871"/>
  <c r="J1045"/>
  <c r="I604"/>
  <c r="J586"/>
  <c r="J115"/>
  <c r="D1427"/>
  <c r="D595"/>
  <c r="D439"/>
  <c r="J184"/>
  <c r="D760"/>
  <c r="D757" s="1"/>
  <c r="J1577"/>
  <c r="I85"/>
  <c r="E84"/>
  <c r="I84" s="1"/>
  <c r="I1090"/>
  <c r="J2117"/>
  <c r="I2117"/>
  <c r="J1320"/>
  <c r="I1320"/>
  <c r="I935"/>
  <c r="E934"/>
  <c r="E933" s="1"/>
  <c r="J1718"/>
  <c r="I1719"/>
  <c r="J1682"/>
  <c r="J1683"/>
  <c r="J1634"/>
  <c r="I1633"/>
  <c r="J1624"/>
  <c r="J1625"/>
  <c r="J1610"/>
  <c r="J1402"/>
  <c r="J1253"/>
  <c r="J1252"/>
  <c r="J864"/>
  <c r="J1250"/>
  <c r="J1251"/>
  <c r="E1031"/>
  <c r="I1032"/>
  <c r="I1289"/>
  <c r="I367"/>
  <c r="I239"/>
  <c r="J240"/>
  <c r="J778"/>
  <c r="J1558"/>
  <c r="I836"/>
  <c r="J2115"/>
  <c r="J1339"/>
  <c r="I1793"/>
  <c r="I211"/>
  <c r="I1986"/>
  <c r="I190"/>
  <c r="I1228"/>
  <c r="J81"/>
  <c r="I386"/>
  <c r="I722"/>
  <c r="J312"/>
  <c r="J562"/>
  <c r="J504"/>
  <c r="I577"/>
  <c r="E955"/>
  <c r="E954" s="1"/>
  <c r="I954" s="1"/>
  <c r="I890"/>
  <c r="I1083"/>
  <c r="J1311"/>
  <c r="J1843"/>
  <c r="J1986"/>
  <c r="J731"/>
  <c r="I803"/>
  <c r="J149"/>
  <c r="J140"/>
  <c r="D624"/>
  <c r="D623" s="1"/>
  <c r="J1738"/>
  <c r="J1612"/>
  <c r="J963"/>
  <c r="J905"/>
  <c r="J805"/>
  <c r="J1753"/>
  <c r="D1834"/>
  <c r="D1830" s="1"/>
  <c r="D1806"/>
  <c r="D1805" s="1"/>
  <c r="D1801" s="1"/>
  <c r="D1249"/>
  <c r="D1245" s="1"/>
  <c r="D487"/>
  <c r="D99"/>
  <c r="D96" s="1"/>
  <c r="D315"/>
  <c r="D308" s="1"/>
  <c r="D2136"/>
  <c r="D2135" s="1"/>
  <c r="D2134" s="1"/>
  <c r="J1581"/>
  <c r="I1473"/>
  <c r="I100"/>
  <c r="I152"/>
  <c r="I2138"/>
  <c r="J481"/>
  <c r="J402"/>
  <c r="I866"/>
  <c r="I1101"/>
  <c r="J1255"/>
  <c r="J1518"/>
  <c r="J1457"/>
  <c r="J1473"/>
  <c r="J1592"/>
  <c r="I568"/>
  <c r="I588"/>
  <c r="I871"/>
  <c r="I1078"/>
  <c r="I1640"/>
  <c r="I2038"/>
  <c r="I2120"/>
  <c r="J807"/>
  <c r="J1671"/>
  <c r="J1106"/>
  <c r="J467"/>
  <c r="J141"/>
  <c r="I1290"/>
  <c r="J1304"/>
  <c r="E324"/>
  <c r="D1966"/>
  <c r="D1965" s="1"/>
  <c r="D1686"/>
  <c r="D1679" s="1"/>
  <c r="D1590"/>
  <c r="D1589" s="1"/>
  <c r="D1218"/>
  <c r="D1213" s="1"/>
  <c r="D1212" s="1"/>
  <c r="D1006"/>
  <c r="D644"/>
  <c r="D643" s="1"/>
  <c r="D570"/>
  <c r="D444"/>
  <c r="D303"/>
  <c r="D183"/>
  <c r="D182" s="1"/>
  <c r="I1948"/>
  <c r="I2037"/>
  <c r="I89"/>
  <c r="I1846"/>
  <c r="J589"/>
  <c r="I872"/>
  <c r="I1702"/>
  <c r="J2060"/>
  <c r="I406"/>
  <c r="I536"/>
  <c r="I1012"/>
  <c r="I1163"/>
  <c r="E1401"/>
  <c r="E1398" s="1"/>
  <c r="J1361"/>
  <c r="J1164"/>
  <c r="I1092"/>
  <c r="J923"/>
  <c r="J861"/>
  <c r="J837"/>
  <c r="I615"/>
  <c r="I1029"/>
  <c r="J1503"/>
  <c r="E213"/>
  <c r="E1218"/>
  <c r="J1895"/>
  <c r="D1091"/>
  <c r="D1084" s="1"/>
  <c r="D575"/>
  <c r="D560"/>
  <c r="I1273"/>
  <c r="J17"/>
  <c r="J165"/>
  <c r="J620"/>
  <c r="J867"/>
  <c r="J872"/>
  <c r="I1302"/>
  <c r="I1284"/>
  <c r="J1397"/>
  <c r="J2020"/>
  <c r="J2059"/>
  <c r="I499"/>
  <c r="I640"/>
  <c r="I804"/>
  <c r="I1661"/>
  <c r="E1775"/>
  <c r="E1772" s="1"/>
  <c r="I1795"/>
  <c r="I1905"/>
  <c r="I2060"/>
  <c r="I1360"/>
  <c r="J663"/>
  <c r="J158"/>
  <c r="E44"/>
  <c r="E233"/>
  <c r="J251"/>
  <c r="D1972"/>
  <c r="D530"/>
  <c r="D403"/>
  <c r="D93"/>
  <c r="D230"/>
  <c r="D227" s="1"/>
  <c r="H114" i="1"/>
  <c r="H113" s="1"/>
  <c r="I379" i="2"/>
  <c r="I380"/>
  <c r="I1026"/>
  <c r="I1025"/>
  <c r="H98" i="1"/>
  <c r="H90"/>
  <c r="H89" s="1"/>
  <c r="I1023" i="2"/>
  <c r="J1156"/>
  <c r="J1155"/>
  <c r="J1157"/>
  <c r="E1155"/>
  <c r="I1155" s="1"/>
  <c r="I1156"/>
  <c r="I1157"/>
  <c r="H67" i="1"/>
  <c r="L67" s="1"/>
  <c r="H49"/>
  <c r="E1028" i="2"/>
  <c r="E1027" s="1"/>
  <c r="H30" i="1"/>
  <c r="I1274" i="2"/>
  <c r="L21" i="1"/>
  <c r="L22"/>
  <c r="H20"/>
  <c r="H19" s="1"/>
  <c r="H18" s="1"/>
  <c r="K1187"/>
  <c r="K1257"/>
  <c r="K530"/>
  <c r="I1707"/>
  <c r="E193" i="2"/>
  <c r="I194"/>
  <c r="K587" i="1"/>
  <c r="I1113"/>
  <c r="K1147"/>
  <c r="K1418"/>
  <c r="H12"/>
  <c r="L13"/>
  <c r="H82"/>
  <c r="H1520"/>
  <c r="J2114"/>
  <c r="I98"/>
  <c r="K2429"/>
  <c r="K2442"/>
  <c r="K2471"/>
  <c r="K2633"/>
  <c r="L2633" s="1"/>
  <c r="G757"/>
  <c r="G756" s="1"/>
  <c r="G755" s="1"/>
  <c r="K1355"/>
  <c r="J171" i="2"/>
  <c r="E729"/>
  <c r="I730"/>
  <c r="K538" i="1"/>
  <c r="I598"/>
  <c r="I1364"/>
  <c r="K323"/>
  <c r="L323" s="1"/>
  <c r="K825"/>
  <c r="H1167"/>
  <c r="I241"/>
  <c r="I240" s="1"/>
  <c r="I235" s="1"/>
  <c r="I234" s="1"/>
  <c r="H250"/>
  <c r="I339"/>
  <c r="K699"/>
  <c r="K714"/>
  <c r="K737"/>
  <c r="I837"/>
  <c r="I992"/>
  <c r="K2130"/>
  <c r="I2160"/>
  <c r="I2165"/>
  <c r="I2170"/>
  <c r="K2669"/>
  <c r="I336"/>
  <c r="H1686"/>
  <c r="L1686" s="1"/>
  <c r="E784" i="2"/>
  <c r="I785"/>
  <c r="I1578"/>
  <c r="K313" i="1"/>
  <c r="I310"/>
  <c r="I831"/>
  <c r="K1879"/>
  <c r="K148"/>
  <c r="H831"/>
  <c r="K1192"/>
  <c r="H2111"/>
  <c r="K118"/>
  <c r="I1251"/>
  <c r="K1601"/>
  <c r="H2677"/>
  <c r="H2676" s="1"/>
  <c r="H1639"/>
  <c r="L1639" s="1"/>
  <c r="J1560" i="2"/>
  <c r="I1560"/>
  <c r="H304" i="1"/>
  <c r="K1137"/>
  <c r="H329"/>
  <c r="H322" s="1"/>
  <c r="K1155"/>
  <c r="I1232"/>
  <c r="K484"/>
  <c r="H2835"/>
  <c r="I114"/>
  <c r="I113" s="1"/>
  <c r="I112" s="1"/>
  <c r="K1132"/>
  <c r="K1269"/>
  <c r="I1473"/>
  <c r="H2123"/>
  <c r="K2676"/>
  <c r="K2928"/>
  <c r="I1192" i="2"/>
  <c r="E1191"/>
  <c r="I1547"/>
  <c r="H237" i="1"/>
  <c r="K822"/>
  <c r="K856"/>
  <c r="L856" s="1"/>
  <c r="K1108"/>
  <c r="K1238"/>
  <c r="I1397"/>
  <c r="H1541"/>
  <c r="H1540" s="1"/>
  <c r="H2003"/>
  <c r="H2013"/>
  <c r="I2031"/>
  <c r="I2036"/>
  <c r="I2046"/>
  <c r="I2061"/>
  <c r="I2071"/>
  <c r="I2086"/>
  <c r="I2101"/>
  <c r="I2106"/>
  <c r="K2114"/>
  <c r="K2547"/>
  <c r="K2554"/>
  <c r="I1170" i="2"/>
  <c r="E1169"/>
  <c r="E1168" s="1"/>
  <c r="H2673" i="1"/>
  <c r="E638" i="2"/>
  <c r="E260"/>
  <c r="I260" s="1"/>
  <c r="I261"/>
  <c r="E244"/>
  <c r="I245"/>
  <c r="K228" i="1"/>
  <c r="K619"/>
  <c r="L619" s="1"/>
  <c r="G688"/>
  <c r="I1242"/>
  <c r="K266"/>
  <c r="H1364"/>
  <c r="K2856"/>
  <c r="K2872"/>
  <c r="K2888"/>
  <c r="E1728" i="2"/>
  <c r="I1729"/>
  <c r="J1565"/>
  <c r="H1468" i="1"/>
  <c r="I1874"/>
  <c r="I2290"/>
  <c r="E1770" i="2"/>
  <c r="I1770" s="1"/>
  <c r="I1771"/>
  <c r="E2049"/>
  <c r="I2050"/>
  <c r="J1744"/>
  <c r="H427" i="1"/>
  <c r="K1175"/>
  <c r="I1211"/>
  <c r="H1214"/>
  <c r="K1501"/>
  <c r="K1807"/>
  <c r="H2188"/>
  <c r="K2525"/>
  <c r="I907"/>
  <c r="K910"/>
  <c r="K927"/>
  <c r="E418" i="2"/>
  <c r="I419"/>
  <c r="E437"/>
  <c r="I438"/>
  <c r="E455"/>
  <c r="I456"/>
  <c r="E2075"/>
  <c r="I2075" s="1"/>
  <c r="I2076"/>
  <c r="J959"/>
  <c r="I953"/>
  <c r="J941"/>
  <c r="J841"/>
  <c r="J842"/>
  <c r="G1635" i="1"/>
  <c r="I2513"/>
  <c r="K416"/>
  <c r="L416" s="1"/>
  <c r="K1287"/>
  <c r="H1473"/>
  <c r="J1547" i="2"/>
  <c r="E396"/>
  <c r="I396" s="1"/>
  <c r="K151" i="1"/>
  <c r="I1367"/>
  <c r="H2160"/>
  <c r="K2694"/>
  <c r="I2915"/>
  <c r="I2936"/>
  <c r="I2935" s="1"/>
  <c r="I2113" i="2"/>
  <c r="E2111"/>
  <c r="J1543"/>
  <c r="J1544"/>
  <c r="I1545"/>
  <c r="J1545"/>
  <c r="K172" i="1"/>
  <c r="K1533"/>
  <c r="I1208" i="2"/>
  <c r="E1207"/>
  <c r="J1767"/>
  <c r="J1158"/>
  <c r="J1159"/>
  <c r="I58" i="1"/>
  <c r="K408"/>
  <c r="I1526"/>
  <c r="H1894"/>
  <c r="K1931"/>
  <c r="K2641"/>
  <c r="K901"/>
  <c r="H937"/>
  <c r="J24" i="2"/>
  <c r="E1019"/>
  <c r="I1019" s="1"/>
  <c r="I1020"/>
  <c r="J1017"/>
  <c r="I1017"/>
  <c r="H374" i="1"/>
  <c r="K326"/>
  <c r="I342"/>
  <c r="G1436"/>
  <c r="K1741"/>
  <c r="J297"/>
  <c r="J290" s="1"/>
  <c r="H1461"/>
  <c r="E1534" i="2"/>
  <c r="I1535"/>
  <c r="E1900"/>
  <c r="I1900" s="1"/>
  <c r="I1901"/>
  <c r="J1152"/>
  <c r="J1153"/>
  <c r="J1111"/>
  <c r="I423" i="1"/>
  <c r="H644"/>
  <c r="K682"/>
  <c r="K813"/>
  <c r="K1054"/>
  <c r="K1204"/>
  <c r="I1224"/>
  <c r="H1227"/>
  <c r="H1314"/>
  <c r="H1433"/>
  <c r="K1594"/>
  <c r="I1927"/>
  <c r="I1926" s="1"/>
  <c r="K1946"/>
  <c r="H2596"/>
  <c r="I2673"/>
  <c r="K1320"/>
  <c r="H1081"/>
  <c r="J231" i="2"/>
  <c r="J215"/>
  <c r="H1953" i="1"/>
  <c r="K32"/>
  <c r="H301"/>
  <c r="H692"/>
  <c r="K793"/>
  <c r="G844"/>
  <c r="G821" s="1"/>
  <c r="H948"/>
  <c r="G1102"/>
  <c r="K1235"/>
  <c r="G1590"/>
  <c r="I2539"/>
  <c r="G2641"/>
  <c r="G2640" s="1"/>
  <c r="G2639" s="1"/>
  <c r="G2638" s="1"/>
  <c r="G2637" s="1"/>
  <c r="K1302"/>
  <c r="I603" i="2"/>
  <c r="H1370" i="1"/>
  <c r="H1400"/>
  <c r="K1927"/>
  <c r="I1845" i="2"/>
  <c r="H2781" i="1"/>
  <c r="H2780" s="1"/>
  <c r="I2788"/>
  <c r="I1954" i="2"/>
  <c r="E1953"/>
  <c r="I1953" s="1"/>
  <c r="H860" i="1"/>
  <c r="H859" s="1"/>
  <c r="K2211"/>
  <c r="K2943"/>
  <c r="I2143" i="2"/>
  <c r="J2143"/>
  <c r="J2138"/>
  <c r="J1855"/>
  <c r="J1191"/>
  <c r="J1192"/>
  <c r="I170"/>
  <c r="E781"/>
  <c r="I782"/>
  <c r="J266" i="1"/>
  <c r="J265" s="1"/>
  <c r="J264" s="1"/>
  <c r="J258" s="1"/>
  <c r="H673"/>
  <c r="I828"/>
  <c r="J874"/>
  <c r="K1224"/>
  <c r="J1338"/>
  <c r="J1265" s="1"/>
  <c r="K1492"/>
  <c r="K2611"/>
  <c r="K844"/>
  <c r="K1902"/>
  <c r="K2608"/>
  <c r="I2681"/>
  <c r="I2849"/>
  <c r="I111" i="2"/>
  <c r="E110"/>
  <c r="I110" s="1"/>
  <c r="K743" i="1"/>
  <c r="K922"/>
  <c r="I937"/>
  <c r="I968"/>
  <c r="K1038"/>
  <c r="I491" i="2"/>
  <c r="E490"/>
  <c r="I490" s="1"/>
  <c r="K36" i="1"/>
  <c r="J1069" i="2"/>
  <c r="I1596"/>
  <c r="I1595"/>
  <c r="I1470"/>
  <c r="J1470"/>
  <c r="J1412"/>
  <c r="J1411"/>
  <c r="J1347"/>
  <c r="I1347"/>
  <c r="I1336"/>
  <c r="I1260"/>
  <c r="G1227" i="1"/>
  <c r="I2297"/>
  <c r="G2694"/>
  <c r="G2693" s="1"/>
  <c r="G2692" s="1"/>
  <c r="G2691" s="1"/>
  <c r="G2690" s="1"/>
  <c r="G2689" s="1"/>
  <c r="K466"/>
  <c r="H1326"/>
  <c r="K1406"/>
  <c r="K2145"/>
  <c r="L2145" s="1"/>
  <c r="K2215"/>
  <c r="K2267"/>
  <c r="K2879"/>
  <c r="E1264" i="2"/>
  <c r="I1264" s="1"/>
  <c r="I1265"/>
  <c r="E1202"/>
  <c r="E1201" s="1"/>
  <c r="I1203"/>
  <c r="K592" i="1"/>
  <c r="K604"/>
  <c r="E108" i="2"/>
  <c r="I109"/>
  <c r="K726" i="1"/>
  <c r="I92" i="2"/>
  <c r="E90"/>
  <c r="H961" i="1"/>
  <c r="E1352" i="2"/>
  <c r="I1353"/>
  <c r="I1305" i="1"/>
  <c r="I653" i="2"/>
  <c r="E652"/>
  <c r="I652" s="1"/>
  <c r="I2615" i="1"/>
  <c r="I2614" s="1"/>
  <c r="I1617" i="2"/>
  <c r="J1616"/>
  <c r="J1617"/>
  <c r="J1530"/>
  <c r="J1531"/>
  <c r="J1201"/>
  <c r="J1180"/>
  <c r="J1181"/>
  <c r="J1001"/>
  <c r="J380"/>
  <c r="H1102" i="1"/>
  <c r="H1108"/>
  <c r="H2405"/>
  <c r="H2404" s="1"/>
  <c r="K874"/>
  <c r="H1335"/>
  <c r="H2152"/>
  <c r="K2155"/>
  <c r="K2180"/>
  <c r="H2203"/>
  <c r="I2412"/>
  <c r="I2405" s="1"/>
  <c r="I2404" s="1"/>
  <c r="K2711"/>
  <c r="K2715"/>
  <c r="K2758"/>
  <c r="L2758" s="1"/>
  <c r="I333"/>
  <c r="K2454"/>
  <c r="I2973"/>
  <c r="I2972" s="1"/>
  <c r="I2971" s="1"/>
  <c r="I2970" s="1"/>
  <c r="I2969" s="1"/>
  <c r="H2984"/>
  <c r="H2983" s="1"/>
  <c r="H2982" s="1"/>
  <c r="H2981" s="1"/>
  <c r="H2980" s="1"/>
  <c r="J1065" i="2"/>
  <c r="J1066"/>
  <c r="J2137"/>
  <c r="I2137"/>
  <c r="J1880"/>
  <c r="J1856"/>
  <c r="I1856"/>
  <c r="I1817"/>
  <c r="J1793"/>
  <c r="J1795"/>
  <c r="J1787"/>
  <c r="J583"/>
  <c r="J584"/>
  <c r="I576"/>
  <c r="J450"/>
  <c r="J451"/>
  <c r="J422"/>
  <c r="I422"/>
  <c r="J417"/>
  <c r="J418"/>
  <c r="I392"/>
  <c r="J290"/>
  <c r="J157"/>
  <c r="I134"/>
  <c r="J135"/>
  <c r="J125"/>
  <c r="E319"/>
  <c r="I320"/>
  <c r="K695" i="1"/>
  <c r="K852"/>
  <c r="J948"/>
  <c r="J947" s="1"/>
  <c r="J1132"/>
  <c r="I1169"/>
  <c r="I1173"/>
  <c r="J1436"/>
  <c r="K2321"/>
  <c r="I255"/>
  <c r="K751"/>
  <c r="K860"/>
  <c r="K1196"/>
  <c r="H1311"/>
  <c r="I443" i="2"/>
  <c r="E442"/>
  <c r="I442" s="1"/>
  <c r="E595"/>
  <c r="I1341"/>
  <c r="E1340"/>
  <c r="I1340" s="1"/>
  <c r="I1868"/>
  <c r="E1867"/>
  <c r="E1866" s="1"/>
  <c r="I2015"/>
  <c r="E2014"/>
  <c r="E2013" s="1"/>
  <c r="E2012" s="1"/>
  <c r="E2011" s="1"/>
  <c r="I1942"/>
  <c r="J1943"/>
  <c r="J1920"/>
  <c r="I1920"/>
  <c r="J1823"/>
  <c r="J1824"/>
  <c r="I1811"/>
  <c r="J1811"/>
  <c r="I1415"/>
  <c r="I1394"/>
  <c r="J1394"/>
  <c r="J1002"/>
  <c r="J1003"/>
  <c r="J992"/>
  <c r="J993"/>
  <c r="J825"/>
  <c r="J593"/>
  <c r="J127"/>
  <c r="J128"/>
  <c r="J98"/>
  <c r="J94"/>
  <c r="J2015"/>
  <c r="J2014"/>
  <c r="J2055"/>
  <c r="J2066"/>
  <c r="I2087"/>
  <c r="I2088"/>
  <c r="J2088"/>
  <c r="J133"/>
  <c r="I307"/>
  <c r="E306"/>
  <c r="I306" s="1"/>
  <c r="I301"/>
  <c r="J791"/>
  <c r="J792"/>
  <c r="J1580"/>
  <c r="I1862" i="1"/>
  <c r="G2888"/>
  <c r="G2887" s="1"/>
  <c r="G2886" s="1"/>
  <c r="G2885" s="1"/>
  <c r="G2884" s="1"/>
  <c r="G2883" s="1"/>
  <c r="J830" i="2"/>
  <c r="E1951"/>
  <c r="I1952"/>
  <c r="I1465"/>
  <c r="E1464"/>
  <c r="E1463" s="1"/>
  <c r="E844"/>
  <c r="I844" s="1"/>
  <c r="I845"/>
  <c r="E470"/>
  <c r="I470" s="1"/>
  <c r="I471"/>
  <c r="I625"/>
  <c r="E981"/>
  <c r="E980" s="1"/>
  <c r="J1759"/>
  <c r="I1759"/>
  <c r="J1757"/>
  <c r="J1731"/>
  <c r="J1732"/>
  <c r="I1732"/>
  <c r="J1656"/>
  <c r="J935"/>
  <c r="J869"/>
  <c r="J870"/>
  <c r="H1162" i="1"/>
  <c r="H1161" s="1"/>
  <c r="I2025" i="2"/>
  <c r="G2731" i="1"/>
  <c r="G213"/>
  <c r="G212" s="1"/>
  <c r="G211" s="1"/>
  <c r="G210" s="1"/>
  <c r="H1293"/>
  <c r="K2448"/>
  <c r="I558" i="2"/>
  <c r="E555"/>
  <c r="E833"/>
  <c r="E832" s="1"/>
  <c r="I834"/>
  <c r="E931"/>
  <c r="E930" s="1"/>
  <c r="I930" s="1"/>
  <c r="I932"/>
  <c r="I1062"/>
  <c r="E1061"/>
  <c r="J1713"/>
  <c r="I1714"/>
  <c r="J1714"/>
  <c r="J1675"/>
  <c r="J1674"/>
  <c r="E1502"/>
  <c r="I1503"/>
  <c r="J1513"/>
  <c r="I1513"/>
  <c r="J1512"/>
  <c r="J1501"/>
  <c r="J259"/>
  <c r="K1162" i="1"/>
  <c r="K492"/>
  <c r="E116" i="2"/>
  <c r="E115" s="1"/>
  <c r="I115" s="1"/>
  <c r="I117"/>
  <c r="E113"/>
  <c r="I114"/>
  <c r="K2419" i="1"/>
  <c r="I1162" i="2"/>
  <c r="E1161"/>
  <c r="I1161" s="1"/>
  <c r="I1709"/>
  <c r="J1709"/>
  <c r="J1670"/>
  <c r="I1671"/>
  <c r="J849"/>
  <c r="E1298"/>
  <c r="I1299"/>
  <c r="E1504"/>
  <c r="I1504" s="1"/>
  <c r="I1505"/>
  <c r="J1515"/>
  <c r="H583" i="1"/>
  <c r="H576" s="1"/>
  <c r="K1003"/>
  <c r="E1975" i="2"/>
  <c r="I1975" s="1"/>
  <c r="I1976"/>
  <c r="J1975"/>
  <c r="J1976"/>
  <c r="J1675" i="1"/>
  <c r="J2405"/>
  <c r="J2404" s="1"/>
  <c r="G297"/>
  <c r="G290" s="1"/>
  <c r="E480" i="2"/>
  <c r="I480" s="1"/>
  <c r="I481"/>
  <c r="E994"/>
  <c r="I994" s="1"/>
  <c r="I995"/>
  <c r="I822"/>
  <c r="E821"/>
  <c r="E860"/>
  <c r="I861"/>
  <c r="E901"/>
  <c r="I902"/>
  <c r="E1425"/>
  <c r="I1426"/>
  <c r="I1958"/>
  <c r="I1812"/>
  <c r="I1813"/>
  <c r="J1431"/>
  <c r="J1362"/>
  <c r="J1363"/>
  <c r="J1197"/>
  <c r="J1077"/>
  <c r="I501"/>
  <c r="J1884"/>
  <c r="H220" i="1"/>
  <c r="E1324" i="2"/>
  <c r="I1324" s="1"/>
  <c r="I1325"/>
  <c r="I1314"/>
  <c r="I1085" i="1"/>
  <c r="I256" i="2"/>
  <c r="E255"/>
  <c r="J260"/>
  <c r="J261"/>
  <c r="I1577"/>
  <c r="E2101"/>
  <c r="D1996"/>
  <c r="K2614" i="1"/>
  <c r="E857" i="2"/>
  <c r="I858"/>
  <c r="E1148"/>
  <c r="I1149"/>
  <c r="E1447"/>
  <c r="I1448"/>
  <c r="I2067"/>
  <c r="E2066"/>
  <c r="I2066" s="1"/>
  <c r="J1960"/>
  <c r="I1776"/>
  <c r="I1483"/>
  <c r="J1484"/>
  <c r="J1162"/>
  <c r="J1163"/>
  <c r="J1098"/>
  <c r="J1099"/>
  <c r="I1043"/>
  <c r="J893"/>
  <c r="I813"/>
  <c r="J551"/>
  <c r="K1071" i="1"/>
  <c r="J1215" i="2"/>
  <c r="I24"/>
  <c r="I1457"/>
  <c r="E1456"/>
  <c r="E1455" s="1"/>
  <c r="K355" i="1"/>
  <c r="J1867" i="2"/>
  <c r="J1866"/>
  <c r="J1821"/>
  <c r="J1822"/>
  <c r="J1350"/>
  <c r="J1072"/>
  <c r="I1072"/>
  <c r="I710"/>
  <c r="I711"/>
  <c r="J578"/>
  <c r="I579"/>
  <c r="J579"/>
  <c r="I365"/>
  <c r="J229"/>
  <c r="H1950" i="1"/>
  <c r="J603"/>
  <c r="J1013"/>
  <c r="J1012" s="1"/>
  <c r="I2419"/>
  <c r="I2418" s="1"/>
  <c r="G1675"/>
  <c r="I1946" i="2"/>
  <c r="E1945"/>
  <c r="I1240"/>
  <c r="E1239"/>
  <c r="E1238" s="1"/>
  <c r="I1238" s="1"/>
  <c r="K2984" i="1"/>
  <c r="E1003" i="2"/>
  <c r="I1004"/>
  <c r="I825"/>
  <c r="E824"/>
  <c r="E823" s="1"/>
  <c r="I864"/>
  <c r="E863"/>
  <c r="E943"/>
  <c r="I944"/>
  <c r="I1891"/>
  <c r="J1890"/>
  <c r="J1891"/>
  <c r="J1678"/>
  <c r="J1676"/>
  <c r="J1371"/>
  <c r="I988"/>
  <c r="I989"/>
  <c r="J880"/>
  <c r="J879"/>
  <c r="I27"/>
  <c r="J2126"/>
  <c r="J2125"/>
  <c r="I2782" i="1"/>
  <c r="I220"/>
  <c r="J1297" i="2"/>
  <c r="J1298"/>
  <c r="I247"/>
  <c r="E1893"/>
  <c r="I1894"/>
  <c r="J768"/>
  <c r="J733"/>
  <c r="J1703"/>
  <c r="K2191" i="1"/>
  <c r="H41"/>
  <c r="G576"/>
  <c r="J1876" i="2"/>
  <c r="J711"/>
  <c r="K449" i="1"/>
  <c r="H1116"/>
  <c r="I269" i="2"/>
  <c r="I268"/>
  <c r="J1973"/>
  <c r="I1936"/>
  <c r="I94"/>
  <c r="I537"/>
  <c r="I1625"/>
  <c r="I846"/>
  <c r="J1846"/>
  <c r="J974" i="1"/>
  <c r="D520" i="2"/>
  <c r="J1933"/>
  <c r="J1934"/>
  <c r="J1860"/>
  <c r="J1747"/>
  <c r="J2037"/>
  <c r="J2038"/>
  <c r="J199"/>
  <c r="J200"/>
  <c r="E409"/>
  <c r="I556"/>
  <c r="I993"/>
  <c r="I798"/>
  <c r="I1683"/>
  <c r="J1751"/>
  <c r="J1669"/>
  <c r="I1895"/>
  <c r="D1619"/>
  <c r="D90"/>
  <c r="D2116"/>
  <c r="J989"/>
  <c r="K1048" i="1"/>
  <c r="J1984" i="2"/>
  <c r="J1985"/>
  <c r="K2283" i="1"/>
  <c r="I1949" i="2"/>
  <c r="J1630"/>
  <c r="J576" i="1"/>
  <c r="G1070"/>
  <c r="D721" i="2"/>
  <c r="J749"/>
  <c r="I620"/>
  <c r="E619"/>
  <c r="E1739"/>
  <c r="E1738" s="1"/>
  <c r="I1738" s="1"/>
  <c r="I1740"/>
  <c r="J2050"/>
  <c r="I134" i="1"/>
  <c r="I1950"/>
  <c r="J1568" i="2"/>
  <c r="I849"/>
  <c r="I1597"/>
  <c r="J277" i="1"/>
  <c r="J276" s="1"/>
  <c r="G449"/>
  <c r="D1467" i="2"/>
  <c r="K981" i="1"/>
  <c r="L981" s="1"/>
  <c r="I188" i="2"/>
  <c r="I607"/>
  <c r="I899"/>
  <c r="J806"/>
  <c r="I2095"/>
  <c r="I1871"/>
  <c r="I1798"/>
  <c r="J1338"/>
  <c r="J1230"/>
  <c r="I440" i="1"/>
  <c r="G901"/>
  <c r="G897" s="1"/>
  <c r="G974"/>
  <c r="E315" i="2"/>
  <c r="D500"/>
  <c r="D409"/>
  <c r="D238"/>
  <c r="D2092"/>
  <c r="D2091" s="1"/>
  <c r="I383"/>
  <c r="K1116" i="1"/>
  <c r="I416" i="2"/>
  <c r="I950"/>
  <c r="I1350"/>
  <c r="J1853"/>
  <c r="J1395"/>
  <c r="I1135"/>
  <c r="J598"/>
  <c r="D1650"/>
  <c r="D161"/>
  <c r="J267"/>
  <c r="I267"/>
  <c r="I1647"/>
  <c r="E996"/>
  <c r="I1114"/>
  <c r="I1704"/>
  <c r="I1796"/>
  <c r="J1953"/>
  <c r="J1863"/>
  <c r="J1852"/>
  <c r="J1827"/>
  <c r="J1817"/>
  <c r="J1640"/>
  <c r="J1144"/>
  <c r="J873"/>
  <c r="I835"/>
  <c r="K440" i="1"/>
  <c r="G927"/>
  <c r="G926" s="1"/>
  <c r="G925" s="1"/>
  <c r="G919" s="1"/>
  <c r="G918" s="1"/>
  <c r="I1998" i="2"/>
  <c r="D1874"/>
  <c r="D973"/>
  <c r="D41"/>
  <c r="D40" s="1"/>
  <c r="J1808"/>
  <c r="I1767"/>
  <c r="J1704"/>
  <c r="J1472"/>
  <c r="I1432"/>
  <c r="J1425"/>
  <c r="J2191" i="1"/>
  <c r="G127"/>
  <c r="G126" s="1"/>
  <c r="G125" s="1"/>
  <c r="J213"/>
  <c r="J212" s="1"/>
  <c r="J211" s="1"/>
  <c r="J210" s="1"/>
  <c r="D1496" i="2"/>
  <c r="D1401"/>
  <c r="D1398" s="1"/>
  <c r="D1380" s="1"/>
  <c r="D684"/>
  <c r="D681" s="1"/>
  <c r="D672" s="1"/>
  <c r="D651"/>
  <c r="D477"/>
  <c r="D263"/>
  <c r="J978"/>
  <c r="J1896"/>
  <c r="D1016"/>
  <c r="D1015" s="1"/>
  <c r="D999"/>
  <c r="D464"/>
  <c r="D282"/>
  <c r="D281" s="1"/>
  <c r="J1492"/>
  <c r="E41"/>
  <c r="D1904"/>
  <c r="D1897" s="1"/>
  <c r="D1420"/>
  <c r="D545"/>
  <c r="D459"/>
  <c r="D143"/>
  <c r="D136" s="1"/>
  <c r="D786"/>
  <c r="J1777"/>
  <c r="E246"/>
  <c r="E1966"/>
  <c r="E1965" s="1"/>
  <c r="D1892"/>
  <c r="D1642"/>
  <c r="D1408"/>
  <c r="D1407" s="1"/>
  <c r="D1359"/>
  <c r="D1358" s="1"/>
  <c r="D1257"/>
  <c r="D1234"/>
  <c r="D345"/>
  <c r="D2077"/>
  <c r="D2072" s="1"/>
  <c r="D2071" s="1"/>
  <c r="D176"/>
  <c r="D175" s="1"/>
  <c r="D741"/>
  <c r="D1628"/>
  <c r="D1509"/>
  <c r="D2124"/>
  <c r="D2123" s="1"/>
  <c r="D2063"/>
  <c r="D2062" s="1"/>
  <c r="D2046" s="1"/>
  <c r="D2039"/>
  <c r="D2034" s="1"/>
  <c r="D2033" s="1"/>
  <c r="D2022" s="1"/>
  <c r="E786"/>
  <c r="D1554"/>
  <c r="I1912"/>
  <c r="E158"/>
  <c r="I158" s="1"/>
  <c r="I159"/>
  <c r="E1468"/>
  <c r="E2141"/>
  <c r="I2142"/>
  <c r="I1599"/>
  <c r="E1598"/>
  <c r="I494"/>
  <c r="E493"/>
  <c r="E717"/>
  <c r="I718"/>
  <c r="I1431"/>
  <c r="E1430"/>
  <c r="I2036"/>
  <c r="E2035"/>
  <c r="J1949"/>
  <c r="J1635"/>
  <c r="J1636"/>
  <c r="J1404"/>
  <c r="J1405"/>
  <c r="J1143"/>
  <c r="J804"/>
  <c r="E1564"/>
  <c r="I1565"/>
  <c r="E22"/>
  <c r="E1932"/>
  <c r="E1931" s="1"/>
  <c r="I554"/>
  <c r="E553"/>
  <c r="I975"/>
  <c r="E974"/>
  <c r="E1809"/>
  <c r="I2029"/>
  <c r="E2028"/>
  <c r="I2028" s="1"/>
  <c r="E2054"/>
  <c r="I2055"/>
  <c r="E2125"/>
  <c r="I2126"/>
  <c r="J1765"/>
  <c r="J1694"/>
  <c r="J1663"/>
  <c r="J1594"/>
  <c r="I1594"/>
  <c r="J1365"/>
  <c r="I1365"/>
  <c r="J900"/>
  <c r="J901"/>
  <c r="J106"/>
  <c r="I79"/>
  <c r="I2109"/>
  <c r="E141"/>
  <c r="I142"/>
  <c r="E1654"/>
  <c r="I1773"/>
  <c r="I1917"/>
  <c r="J1917"/>
  <c r="J1326"/>
  <c r="J374"/>
  <c r="E1079"/>
  <c r="E1482"/>
  <c r="E1262"/>
  <c r="J442"/>
  <c r="J937"/>
  <c r="I427"/>
  <c r="E426"/>
  <c r="E830"/>
  <c r="I831"/>
  <c r="J1898"/>
  <c r="J1621"/>
  <c r="J1414"/>
  <c r="J1100"/>
  <c r="J1101"/>
  <c r="J401"/>
  <c r="I964"/>
  <c r="E963"/>
  <c r="I963" s="1"/>
  <c r="I514"/>
  <c r="E513"/>
  <c r="I1143"/>
  <c r="E1142"/>
  <c r="E1333"/>
  <c r="I1334"/>
  <c r="I1622"/>
  <c r="E1621"/>
  <c r="E1644"/>
  <c r="I1645"/>
  <c r="E1768"/>
  <c r="I1768" s="1"/>
  <c r="I1769"/>
  <c r="I1862"/>
  <c r="J1862"/>
  <c r="J1848"/>
  <c r="J1825"/>
  <c r="J1725"/>
  <c r="I1725"/>
  <c r="J1653"/>
  <c r="J955"/>
  <c r="J954"/>
  <c r="J801"/>
  <c r="J629"/>
  <c r="J615"/>
  <c r="J447"/>
  <c r="I447"/>
  <c r="I2019"/>
  <c r="J2019"/>
  <c r="J1970"/>
  <c r="E275"/>
  <c r="I1913"/>
  <c r="E351"/>
  <c r="E151"/>
  <c r="I407"/>
  <c r="J443"/>
  <c r="J1226"/>
  <c r="E1252"/>
  <c r="I1252" s="1"/>
  <c r="I1253"/>
  <c r="E1752"/>
  <c r="I1753"/>
  <c r="I1824"/>
  <c r="E1823"/>
  <c r="I1480"/>
  <c r="E1479"/>
  <c r="I1165"/>
  <c r="E1164"/>
  <c r="I1164" s="1"/>
  <c r="I293"/>
  <c r="E292"/>
  <c r="E546"/>
  <c r="I547"/>
  <c r="I572"/>
  <c r="E571"/>
  <c r="I843"/>
  <c r="E842"/>
  <c r="E873"/>
  <c r="I873" s="1"/>
  <c r="I874"/>
  <c r="I1375"/>
  <c r="E1374"/>
  <c r="E1676"/>
  <c r="I1762"/>
  <c r="J1721"/>
  <c r="J1052"/>
  <c r="J818"/>
  <c r="I567"/>
  <c r="I561"/>
  <c r="J549"/>
  <c r="J524"/>
  <c r="I374"/>
  <c r="E373"/>
  <c r="E372" s="1"/>
  <c r="E359" s="1"/>
  <c r="I125"/>
  <c r="E1006"/>
  <c r="I1524"/>
  <c r="I1144"/>
  <c r="I1887"/>
  <c r="E505"/>
  <c r="I401"/>
  <c r="E665"/>
  <c r="I666"/>
  <c r="E1788"/>
  <c r="I936"/>
  <c r="J936"/>
  <c r="J499"/>
  <c r="I461"/>
  <c r="J1296"/>
  <c r="E1258"/>
  <c r="I714"/>
  <c r="E713"/>
  <c r="I1472"/>
  <c r="J855"/>
  <c r="I855"/>
  <c r="J405"/>
  <c r="J1493"/>
  <c r="E1925"/>
  <c r="I1926"/>
  <c r="I1532"/>
  <c r="E1531"/>
  <c r="E1242"/>
  <c r="I1243"/>
  <c r="E465"/>
  <c r="I466"/>
  <c r="E1126"/>
  <c r="I1127"/>
  <c r="E1411"/>
  <c r="I1412"/>
  <c r="E2147"/>
  <c r="I2148"/>
  <c r="J1781"/>
  <c r="I1781"/>
  <c r="J1613"/>
  <c r="I923"/>
  <c r="E772"/>
  <c r="E769" s="1"/>
  <c r="I774"/>
  <c r="E746"/>
  <c r="I746" s="1"/>
  <c r="I747"/>
  <c r="E74"/>
  <c r="E73" s="1"/>
  <c r="E72" s="1"/>
  <c r="I1226"/>
  <c r="I2058"/>
  <c r="J483"/>
  <c r="I898"/>
  <c r="I937"/>
  <c r="J461"/>
  <c r="I453"/>
  <c r="E452"/>
  <c r="E585"/>
  <c r="E1108"/>
  <c r="I1109"/>
  <c r="I1206"/>
  <c r="E1205"/>
  <c r="I1339"/>
  <c r="E1338"/>
  <c r="I1338" s="1"/>
  <c r="E1821"/>
  <c r="J1734"/>
  <c r="I1734"/>
  <c r="J1680"/>
  <c r="I1611"/>
  <c r="J1611"/>
  <c r="J971"/>
  <c r="I914"/>
  <c r="J914"/>
  <c r="J619"/>
  <c r="J613"/>
  <c r="J511"/>
  <c r="J277"/>
  <c r="J86"/>
  <c r="J1517"/>
  <c r="I527"/>
  <c r="E526"/>
  <c r="E1757"/>
  <c r="I2078"/>
  <c r="E2077"/>
  <c r="J1906"/>
  <c r="I1726"/>
  <c r="J1726"/>
  <c r="I1403"/>
  <c r="J1403"/>
  <c r="I1140"/>
  <c r="J1109"/>
  <c r="J840"/>
  <c r="J685"/>
  <c r="I602"/>
  <c r="J496"/>
  <c r="I404"/>
  <c r="J404"/>
  <c r="J354"/>
  <c r="I354"/>
  <c r="J2065"/>
  <c r="J1309"/>
  <c r="J1310"/>
  <c r="I521"/>
  <c r="E814"/>
  <c r="I1908"/>
  <c r="J284"/>
  <c r="I489"/>
  <c r="J631"/>
  <c r="I905"/>
  <c r="I875"/>
  <c r="E1087"/>
  <c r="J1145"/>
  <c r="J1334"/>
  <c r="E1695"/>
  <c r="J1681"/>
  <c r="J1637"/>
  <c r="J1836"/>
  <c r="E806"/>
  <c r="E949"/>
  <c r="E1703"/>
  <c r="I1703" s="1"/>
  <c r="I2121"/>
  <c r="J977"/>
  <c r="I408"/>
  <c r="D1190"/>
  <c r="I1068"/>
  <c r="E2129"/>
  <c r="J1957"/>
  <c r="J1842"/>
  <c r="I1807"/>
  <c r="J1807"/>
  <c r="I840"/>
  <c r="E839"/>
  <c r="E958"/>
  <c r="I959"/>
  <c r="E1693"/>
  <c r="E1692" s="1"/>
  <c r="I1692" s="1"/>
  <c r="I1694"/>
  <c r="J1936"/>
  <c r="I1794"/>
  <c r="J1691"/>
  <c r="I1605"/>
  <c r="J1438"/>
  <c r="J1356"/>
  <c r="I1196"/>
  <c r="J1196"/>
  <c r="J1088"/>
  <c r="J1061"/>
  <c r="J1062"/>
  <c r="I941"/>
  <c r="J479"/>
  <c r="I479"/>
  <c r="J2036"/>
  <c r="J327"/>
  <c r="J328"/>
  <c r="J234"/>
  <c r="E696"/>
  <c r="I1227"/>
  <c r="J1202"/>
  <c r="I259"/>
  <c r="J1118"/>
  <c r="J1227"/>
  <c r="J522"/>
  <c r="J448"/>
  <c r="J42"/>
  <c r="J1093"/>
  <c r="E1359"/>
  <c r="E1358" s="1"/>
  <c r="I1363"/>
  <c r="J1426"/>
  <c r="J1600"/>
  <c r="I1656"/>
  <c r="I2131"/>
  <c r="I1009"/>
  <c r="E593"/>
  <c r="I593" s="1"/>
  <c r="E992"/>
  <c r="E851"/>
  <c r="E1349"/>
  <c r="E1730"/>
  <c r="E1748"/>
  <c r="I2031"/>
  <c r="I1372"/>
  <c r="I541"/>
  <c r="E540"/>
  <c r="I961"/>
  <c r="E960"/>
  <c r="I960" s="1"/>
  <c r="I1716"/>
  <c r="J1688"/>
  <c r="J856"/>
  <c r="J857"/>
  <c r="E472"/>
  <c r="I473"/>
  <c r="I519"/>
  <c r="E518"/>
  <c r="I518" s="1"/>
  <c r="E533"/>
  <c r="I534"/>
  <c r="I606"/>
  <c r="E605"/>
  <c r="I605" s="1"/>
  <c r="E1044"/>
  <c r="I1045"/>
  <c r="I1119"/>
  <c r="E1118"/>
  <c r="E1117" s="1"/>
  <c r="E1116" s="1"/>
  <c r="I1116" s="1"/>
  <c r="E1370"/>
  <c r="I1371"/>
  <c r="E1441"/>
  <c r="I1443"/>
  <c r="I1673"/>
  <c r="E1672"/>
  <c r="I1672" s="1"/>
  <c r="E2068"/>
  <c r="I2069"/>
  <c r="J1940"/>
  <c r="J1901"/>
  <c r="J1900"/>
  <c r="J1882"/>
  <c r="I1882"/>
  <c r="I1701"/>
  <c r="J1685"/>
  <c r="J1443"/>
  <c r="I1178"/>
  <c r="I1095"/>
  <c r="J1095"/>
  <c r="J917"/>
  <c r="I917"/>
  <c r="I797"/>
  <c r="J582"/>
  <c r="I582"/>
  <c r="I448"/>
  <c r="J1116"/>
  <c r="I1957"/>
  <c r="E1486"/>
  <c r="E575"/>
  <c r="J435"/>
  <c r="I971"/>
  <c r="J875"/>
  <c r="I1838"/>
  <c r="E1837"/>
  <c r="J1913"/>
  <c r="J1598"/>
  <c r="J1599"/>
  <c r="I1400"/>
  <c r="E390"/>
  <c r="E516"/>
  <c r="I517"/>
  <c r="I979"/>
  <c r="E978"/>
  <c r="E919"/>
  <c r="E918" s="1"/>
  <c r="I920"/>
  <c r="I1440"/>
  <c r="E1439"/>
  <c r="I1827"/>
  <c r="I2086"/>
  <c r="E2085"/>
  <c r="J1945"/>
  <c r="J1870"/>
  <c r="I1870"/>
  <c r="I1737"/>
  <c r="J1332"/>
  <c r="J1333"/>
  <c r="J916"/>
  <c r="J908"/>
  <c r="I908"/>
  <c r="J626"/>
  <c r="J531"/>
  <c r="I531"/>
  <c r="I441"/>
  <c r="J441"/>
  <c r="J1021"/>
  <c r="E1321"/>
  <c r="I1321" s="1"/>
  <c r="I1322"/>
  <c r="I587"/>
  <c r="I1526"/>
  <c r="I42"/>
  <c r="E462"/>
  <c r="I569"/>
  <c r="I929"/>
  <c r="I1230"/>
  <c r="J1740"/>
  <c r="J1739"/>
  <c r="I1774"/>
  <c r="E1652"/>
  <c r="I1653"/>
  <c r="I574"/>
  <c r="I1417"/>
  <c r="E1682"/>
  <c r="I1664"/>
  <c r="J1664"/>
  <c r="I1863"/>
  <c r="D1859"/>
  <c r="D1858" s="1"/>
  <c r="D1204"/>
  <c r="I1717"/>
  <c r="I1600"/>
  <c r="D505"/>
  <c r="J2069"/>
  <c r="J1511"/>
  <c r="E2106"/>
  <c r="J1905"/>
  <c r="I1663"/>
  <c r="J1284"/>
  <c r="I187"/>
  <c r="D510"/>
  <c r="D492"/>
  <c r="J1219"/>
  <c r="I1219"/>
  <c r="E1585"/>
  <c r="I1586"/>
  <c r="I1747"/>
  <c r="I2096"/>
  <c r="I1777"/>
  <c r="D1658"/>
  <c r="J266"/>
  <c r="I266"/>
  <c r="I692"/>
  <c r="J692"/>
  <c r="I1997"/>
  <c r="D1369"/>
  <c r="D1368" s="1"/>
  <c r="D1182"/>
  <c r="D1175" s="1"/>
  <c r="D1174" s="1"/>
  <c r="I337"/>
  <c r="D1950"/>
  <c r="E1222"/>
  <c r="E1221" s="1"/>
  <c r="I1223"/>
  <c r="I200"/>
  <c r="E199"/>
  <c r="E198" s="1"/>
  <c r="D1990"/>
  <c r="D1983" s="1"/>
  <c r="D1820"/>
  <c r="D1819" s="1"/>
  <c r="D1730"/>
  <c r="D1608"/>
  <c r="D1607" s="1"/>
  <c r="D1121"/>
  <c r="D555"/>
  <c r="D454"/>
  <c r="E694"/>
  <c r="D1516"/>
  <c r="D660"/>
  <c r="D611"/>
  <c r="D515"/>
  <c r="D12"/>
  <c r="J1222"/>
  <c r="D1850"/>
  <c r="D1715"/>
  <c r="D1104"/>
  <c r="D1097" s="1"/>
  <c r="D449"/>
  <c r="D74"/>
  <c r="D73" s="1"/>
  <c r="D72" s="1"/>
  <c r="D44"/>
  <c r="D2011"/>
  <c r="D359"/>
  <c r="D585"/>
  <c r="J2002"/>
  <c r="D1710"/>
  <c r="D1151"/>
  <c r="D565"/>
  <c r="E721"/>
  <c r="D1667"/>
  <c r="I174"/>
  <c r="D1911"/>
  <c r="D1763"/>
  <c r="D1049"/>
  <c r="D146"/>
  <c r="E1996"/>
  <c r="D1775"/>
  <c r="D1772" s="1"/>
  <c r="D1344"/>
  <c r="D525"/>
  <c r="D469"/>
  <c r="D772"/>
  <c r="D769" s="1"/>
  <c r="E263"/>
  <c r="E341"/>
  <c r="E340" s="1"/>
  <c r="E1990"/>
  <c r="E1983" s="1"/>
  <c r="D1844"/>
  <c r="D1840" s="1"/>
  <c r="D1475"/>
  <c r="D1303"/>
  <c r="D1300" s="1"/>
  <c r="D1278" s="1"/>
  <c r="D1037"/>
  <c r="D550"/>
  <c r="D246"/>
  <c r="D233"/>
  <c r="D2141"/>
  <c r="D2140" s="1"/>
  <c r="D2139" s="1"/>
  <c r="D748"/>
  <c r="I1896"/>
  <c r="E400" l="1"/>
  <c r="I400" s="1"/>
  <c r="L477" i="1"/>
  <c r="L2224"/>
  <c r="L2331"/>
  <c r="G669"/>
  <c r="H2694"/>
  <c r="H2693" s="1"/>
  <c r="H2692" s="1"/>
  <c r="H2691" s="1"/>
  <c r="H2690" s="1"/>
  <c r="H2689" s="1"/>
  <c r="L430"/>
  <c r="L2805"/>
  <c r="K2574"/>
  <c r="M2574" s="1"/>
  <c r="H2819"/>
  <c r="H2818" s="1"/>
  <c r="H2817" s="1"/>
  <c r="H2816" s="1"/>
  <c r="H2815" s="1"/>
  <c r="H2814" s="1"/>
  <c r="I1438" i="2"/>
  <c r="E1067"/>
  <c r="I1429"/>
  <c r="L2353" i="1"/>
  <c r="I1177" i="2"/>
  <c r="H2856" i="1"/>
  <c r="H456"/>
  <c r="L456" s="1"/>
  <c r="H449"/>
  <c r="L449" s="1"/>
  <c r="H2026"/>
  <c r="F167" i="2"/>
  <c r="L1761" i="1"/>
  <c r="L1078"/>
  <c r="L2240"/>
  <c r="L2774"/>
  <c r="L1880"/>
  <c r="K71"/>
  <c r="L71" s="1"/>
  <c r="E1420" i="2"/>
  <c r="I1420" s="1"/>
  <c r="I366"/>
  <c r="I1668" i="1"/>
  <c r="M1668" s="1"/>
  <c r="H1741"/>
  <c r="H1740" s="1"/>
  <c r="H1739" s="1"/>
  <c r="H1738" s="1"/>
  <c r="H1737" s="1"/>
  <c r="F1173" i="2"/>
  <c r="I1361"/>
  <c r="I1861"/>
  <c r="H1367"/>
  <c r="I1501"/>
  <c r="E1110"/>
  <c r="I1688"/>
  <c r="I305"/>
  <c r="F2009"/>
  <c r="E1491"/>
  <c r="I1491" s="1"/>
  <c r="G11"/>
  <c r="I2094"/>
  <c r="E2099"/>
  <c r="E2098" s="1"/>
  <c r="E2097" s="1"/>
  <c r="E2090" s="1"/>
  <c r="M913" i="1"/>
  <c r="L913"/>
  <c r="L2574"/>
  <c r="L2155"/>
  <c r="M2155"/>
  <c r="M36"/>
  <c r="L36"/>
  <c r="M1320"/>
  <c r="L1320"/>
  <c r="K2521"/>
  <c r="M2525"/>
  <c r="L2525"/>
  <c r="M2130"/>
  <c r="L2130"/>
  <c r="M2955"/>
  <c r="L2955"/>
  <c r="K2818"/>
  <c r="M2819"/>
  <c r="L181"/>
  <c r="M181"/>
  <c r="L1219"/>
  <c r="M1219"/>
  <c r="L887"/>
  <c r="M887"/>
  <c r="M2101"/>
  <c r="L2101"/>
  <c r="L167"/>
  <c r="M167"/>
  <c r="L1311"/>
  <c r="M1311"/>
  <c r="L1412"/>
  <c r="M1412"/>
  <c r="L1440"/>
  <c r="M1440"/>
  <c r="M2462"/>
  <c r="L2462"/>
  <c r="L2723"/>
  <c r="M2723"/>
  <c r="K1064"/>
  <c r="M1065"/>
  <c r="L1065"/>
  <c r="M1950"/>
  <c r="L1950"/>
  <c r="L751"/>
  <c r="M751"/>
  <c r="L844"/>
  <c r="M844"/>
  <c r="M1302"/>
  <c r="L1302"/>
  <c r="L2928"/>
  <c r="M2928"/>
  <c r="M2377"/>
  <c r="L2377"/>
  <c r="L2563"/>
  <c r="M2563"/>
  <c r="M987"/>
  <c r="L987"/>
  <c r="M1894"/>
  <c r="L1894"/>
  <c r="K2329"/>
  <c r="L2330"/>
  <c r="M2330"/>
  <c r="M1605"/>
  <c r="L1605"/>
  <c r="L2601"/>
  <c r="M2601"/>
  <c r="K1123"/>
  <c r="L1124"/>
  <c r="L2046"/>
  <c r="M2046"/>
  <c r="L1391"/>
  <c r="M1391"/>
  <c r="M1561"/>
  <c r="L1561"/>
  <c r="L2763"/>
  <c r="M2763"/>
  <c r="L1883"/>
  <c r="M1883"/>
  <c r="M336"/>
  <c r="L336"/>
  <c r="M1081"/>
  <c r="L1081"/>
  <c r="M326"/>
  <c r="L326"/>
  <c r="L1175"/>
  <c r="M1175"/>
  <c r="L118"/>
  <c r="M118"/>
  <c r="M2290"/>
  <c r="L2290"/>
  <c r="K1755"/>
  <c r="M1756"/>
  <c r="L1756"/>
  <c r="L561"/>
  <c r="M561"/>
  <c r="M1089"/>
  <c r="L1089"/>
  <c r="M1450"/>
  <c r="L1305"/>
  <c r="M1305"/>
  <c r="M2341"/>
  <c r="L2341"/>
  <c r="L134"/>
  <c r="M134"/>
  <c r="M2398"/>
  <c r="L2398"/>
  <c r="K1622"/>
  <c r="L2000"/>
  <c r="M2000"/>
  <c r="L648"/>
  <c r="M648"/>
  <c r="K2672"/>
  <c r="L2673"/>
  <c r="M2673"/>
  <c r="L229"/>
  <c r="M229"/>
  <c r="L284"/>
  <c r="M284"/>
  <c r="M893"/>
  <c r="L893"/>
  <c r="L2283"/>
  <c r="M2283"/>
  <c r="L2419"/>
  <c r="M2419"/>
  <c r="L587"/>
  <c r="M587"/>
  <c r="M2959"/>
  <c r="L2959"/>
  <c r="L2385"/>
  <c r="M2385"/>
  <c r="L2111"/>
  <c r="M2111"/>
  <c r="K2238"/>
  <c r="L2239"/>
  <c r="M2239"/>
  <c r="L399"/>
  <c r="M399"/>
  <c r="L2804"/>
  <c r="M2804"/>
  <c r="L2677"/>
  <c r="M2677"/>
  <c r="M2785"/>
  <c r="L2785"/>
  <c r="L2502"/>
  <c r="M2502"/>
  <c r="K1731"/>
  <c r="L1732"/>
  <c r="M1732"/>
  <c r="L988"/>
  <c r="M988"/>
  <c r="K2505"/>
  <c r="M2506"/>
  <c r="L2506"/>
  <c r="K732"/>
  <c r="L733"/>
  <c r="M733"/>
  <c r="L1116"/>
  <c r="M1116"/>
  <c r="L2711"/>
  <c r="M2711"/>
  <c r="L2267"/>
  <c r="M2267"/>
  <c r="M2608"/>
  <c r="L2608"/>
  <c r="L1946"/>
  <c r="M1946"/>
  <c r="M1054"/>
  <c r="L1054"/>
  <c r="L2694"/>
  <c r="M2694"/>
  <c r="M2888"/>
  <c r="L2888"/>
  <c r="M1132"/>
  <c r="L1132"/>
  <c r="L2669"/>
  <c r="M2669"/>
  <c r="M714"/>
  <c r="L1355"/>
  <c r="M1355"/>
  <c r="L1006"/>
  <c r="M1006"/>
  <c r="M2297"/>
  <c r="M1158"/>
  <c r="L1158"/>
  <c r="L1874"/>
  <c r="M1874"/>
  <c r="L2256"/>
  <c r="M2256"/>
  <c r="L1427"/>
  <c r="M1427"/>
  <c r="L2091"/>
  <c r="M2091"/>
  <c r="L1918"/>
  <c r="M1918"/>
  <c r="L2514"/>
  <c r="M2514"/>
  <c r="L1480"/>
  <c r="M1480"/>
  <c r="I1652"/>
  <c r="M1652" s="1"/>
  <c r="M1653"/>
  <c r="L419"/>
  <c r="L345"/>
  <c r="M345"/>
  <c r="L788"/>
  <c r="M788"/>
  <c r="K2972"/>
  <c r="M2973"/>
  <c r="L2973"/>
  <c r="L2086"/>
  <c r="M2086"/>
  <c r="M1841"/>
  <c r="L1841"/>
  <c r="L1024"/>
  <c r="M1024"/>
  <c r="M961"/>
  <c r="L961"/>
  <c r="K103"/>
  <c r="L107"/>
  <c r="M107"/>
  <c r="M1985"/>
  <c r="L1985"/>
  <c r="H1720"/>
  <c r="L1720" s="1"/>
  <c r="L1721"/>
  <c r="K240"/>
  <c r="M241"/>
  <c r="M471"/>
  <c r="L471"/>
  <c r="M456"/>
  <c r="L2175"/>
  <c r="M2175"/>
  <c r="L1844"/>
  <c r="M1844"/>
  <c r="L1779"/>
  <c r="M1779"/>
  <c r="L1281"/>
  <c r="M1281"/>
  <c r="L1335"/>
  <c r="M1335"/>
  <c r="L1397"/>
  <c r="M1397"/>
  <c r="M1473"/>
  <c r="L1473"/>
  <c r="L1820"/>
  <c r="M1820"/>
  <c r="L996"/>
  <c r="M996"/>
  <c r="M141"/>
  <c r="L141"/>
  <c r="L1388"/>
  <c r="M1388"/>
  <c r="K121"/>
  <c r="L122"/>
  <c r="M122"/>
  <c r="L278"/>
  <c r="M278"/>
  <c r="H1716"/>
  <c r="L1716" s="1"/>
  <c r="L1717"/>
  <c r="L2863"/>
  <c r="M2863"/>
  <c r="M1748"/>
  <c r="L1748"/>
  <c r="M2964"/>
  <c r="L2964"/>
  <c r="L1573"/>
  <c r="M1573"/>
  <c r="K1182"/>
  <c r="L1183"/>
  <c r="M1183"/>
  <c r="L75"/>
  <c r="M75"/>
  <c r="M423"/>
  <c r="L423"/>
  <c r="L356"/>
  <c r="M356"/>
  <c r="L638"/>
  <c r="M638"/>
  <c r="L534"/>
  <c r="M534"/>
  <c r="L1964"/>
  <c r="M1964"/>
  <c r="L1034"/>
  <c r="M1034"/>
  <c r="K510"/>
  <c r="M511"/>
  <c r="L511"/>
  <c r="M1953"/>
  <c r="L1953"/>
  <c r="L128"/>
  <c r="M128"/>
  <c r="M310"/>
  <c r="L310"/>
  <c r="L420"/>
  <c r="M420"/>
  <c r="I1675"/>
  <c r="M1675" s="1"/>
  <c r="H2641"/>
  <c r="H2640" s="1"/>
  <c r="H2639" s="1"/>
  <c r="H2638" s="1"/>
  <c r="H2637" s="1"/>
  <c r="G1264"/>
  <c r="G1263" s="1"/>
  <c r="G1262" s="1"/>
  <c r="G1248" s="1"/>
  <c r="I2065" i="2"/>
  <c r="I363"/>
  <c r="L316" i="1"/>
  <c r="I1745" i="2"/>
  <c r="I2084"/>
  <c r="K566" i="1"/>
  <c r="K41"/>
  <c r="L41" s="1"/>
  <c r="H2008"/>
  <c r="L2008" s="1"/>
  <c r="L2449"/>
  <c r="L2455"/>
  <c r="M2611"/>
  <c r="L2611"/>
  <c r="I1706"/>
  <c r="M1706" s="1"/>
  <c r="M1707"/>
  <c r="L892"/>
  <c r="M892"/>
  <c r="M1061"/>
  <c r="L1061"/>
  <c r="L2051"/>
  <c r="M2051"/>
  <c r="K777"/>
  <c r="L784"/>
  <c r="M784"/>
  <c r="L1349"/>
  <c r="M1349"/>
  <c r="M1169"/>
  <c r="L1169"/>
  <c r="L514"/>
  <c r="M514"/>
  <c r="K2117"/>
  <c r="L2118"/>
  <c r="M2118"/>
  <c r="L828"/>
  <c r="M828"/>
  <c r="K260"/>
  <c r="L261"/>
  <c r="M2540"/>
  <c r="L2540"/>
  <c r="L307"/>
  <c r="M307"/>
  <c r="K1811"/>
  <c r="L1812"/>
  <c r="H1451" i="2"/>
  <c r="H1450" s="1"/>
  <c r="H1449" s="1"/>
  <c r="H1445" s="1"/>
  <c r="L1252" i="1"/>
  <c r="M1252"/>
  <c r="M2641"/>
  <c r="L2641"/>
  <c r="M2554"/>
  <c r="M484"/>
  <c r="L1553"/>
  <c r="M1553"/>
  <c r="L1000"/>
  <c r="M1000"/>
  <c r="L1385"/>
  <c r="M1385"/>
  <c r="M58"/>
  <c r="L58"/>
  <c r="L2388"/>
  <c r="M2388"/>
  <c r="M2517"/>
  <c r="L2517"/>
  <c r="L2247"/>
  <c r="M2247"/>
  <c r="M194"/>
  <c r="L194"/>
  <c r="L1594"/>
  <c r="M1594"/>
  <c r="M901"/>
  <c r="L901"/>
  <c r="L2856"/>
  <c r="M2856"/>
  <c r="M1238"/>
  <c r="L1238"/>
  <c r="K2935"/>
  <c r="L2936"/>
  <c r="M2936"/>
  <c r="L1373"/>
  <c r="M1373"/>
  <c r="M1332"/>
  <c r="L1332"/>
  <c r="L2071"/>
  <c r="M2071"/>
  <c r="M2275"/>
  <c r="L1403"/>
  <c r="M1403"/>
  <c r="M1863"/>
  <c r="L1863"/>
  <c r="L692"/>
  <c r="M692"/>
  <c r="M2231"/>
  <c r="L2231"/>
  <c r="K2219"/>
  <c r="L2220"/>
  <c r="M2220"/>
  <c r="L413"/>
  <c r="M413"/>
  <c r="L831"/>
  <c r="M831"/>
  <c r="L1196"/>
  <c r="M1196"/>
  <c r="M1902"/>
  <c r="L505"/>
  <c r="M505"/>
  <c r="K1520"/>
  <c r="M1521"/>
  <c r="L1521"/>
  <c r="M2170"/>
  <c r="L2170"/>
  <c r="L1299"/>
  <c r="M1299"/>
  <c r="L1400"/>
  <c r="M1400"/>
  <c r="L1483"/>
  <c r="M1483"/>
  <c r="L351"/>
  <c r="M351"/>
  <c r="L552"/>
  <c r="M552"/>
  <c r="M1776"/>
  <c r="L1776"/>
  <c r="L2409"/>
  <c r="M2409"/>
  <c r="L2023"/>
  <c r="M2023"/>
  <c r="M515"/>
  <c r="L515"/>
  <c r="L2614"/>
  <c r="M2614"/>
  <c r="L2715"/>
  <c r="M2715"/>
  <c r="L874"/>
  <c r="M874"/>
  <c r="M2879"/>
  <c r="L2879"/>
  <c r="M1038"/>
  <c r="L1038"/>
  <c r="L1224"/>
  <c r="M1224"/>
  <c r="M2211"/>
  <c r="L2211"/>
  <c r="L1572"/>
  <c r="L1235"/>
  <c r="M1235"/>
  <c r="L1204"/>
  <c r="M1204"/>
  <c r="L1741"/>
  <c r="M1741"/>
  <c r="L408"/>
  <c r="M408"/>
  <c r="L172"/>
  <c r="M172"/>
  <c r="M1287"/>
  <c r="L1287"/>
  <c r="L1501"/>
  <c r="M1501"/>
  <c r="L1269"/>
  <c r="M1269"/>
  <c r="L1601"/>
  <c r="M1601"/>
  <c r="L1879"/>
  <c r="M1879"/>
  <c r="L737"/>
  <c r="M737"/>
  <c r="L825"/>
  <c r="M825"/>
  <c r="M2429"/>
  <c r="M1147"/>
  <c r="L1147"/>
  <c r="L1187"/>
  <c r="M1187"/>
  <c r="M1272"/>
  <c r="L1272"/>
  <c r="L2736"/>
  <c r="M2736"/>
  <c r="L1942"/>
  <c r="M1942"/>
  <c r="L1179"/>
  <c r="M1179"/>
  <c r="L2836"/>
  <c r="M2836"/>
  <c r="M160"/>
  <c r="L160"/>
  <c r="L1290"/>
  <c r="M1290"/>
  <c r="L2374"/>
  <c r="M2374"/>
  <c r="M1102"/>
  <c r="L1102"/>
  <c r="M2915"/>
  <c r="M598"/>
  <c r="L598"/>
  <c r="L556"/>
  <c r="M556"/>
  <c r="M1293"/>
  <c r="L1293"/>
  <c r="K382"/>
  <c r="M383"/>
  <c r="L2731"/>
  <c r="M2731"/>
  <c r="M1854"/>
  <c r="L2307"/>
  <c r="M2307"/>
  <c r="L632"/>
  <c r="M632"/>
  <c r="L2148"/>
  <c r="M2148"/>
  <c r="L2106"/>
  <c r="M2106"/>
  <c r="L115"/>
  <c r="M115"/>
  <c r="M1214"/>
  <c r="L1214"/>
  <c r="M2406"/>
  <c r="L2406"/>
  <c r="K608"/>
  <c r="K607" s="1"/>
  <c r="M609"/>
  <c r="L609"/>
  <c r="M1970"/>
  <c r="L1970"/>
  <c r="L1975"/>
  <c r="M1975"/>
  <c r="L1227"/>
  <c r="M1227"/>
  <c r="I1720"/>
  <c r="M1720" s="1"/>
  <c r="M1721"/>
  <c r="L2031"/>
  <c r="M2031"/>
  <c r="L191"/>
  <c r="M191"/>
  <c r="L1956"/>
  <c r="M1956"/>
  <c r="L2003"/>
  <c r="M2003"/>
  <c r="M1326"/>
  <c r="L1326"/>
  <c r="M1382"/>
  <c r="L1382"/>
  <c r="L1424"/>
  <c r="M1424"/>
  <c r="L1468"/>
  <c r="M1468"/>
  <c r="M237"/>
  <c r="L237"/>
  <c r="M1394"/>
  <c r="L1394"/>
  <c r="M374"/>
  <c r="L374"/>
  <c r="L1446"/>
  <c r="M1446"/>
  <c r="L888"/>
  <c r="M888"/>
  <c r="M2415"/>
  <c r="L2415"/>
  <c r="L2291"/>
  <c r="M2291"/>
  <c r="M1027"/>
  <c r="L689"/>
  <c r="M689"/>
  <c r="L761"/>
  <c r="M761"/>
  <c r="K2839"/>
  <c r="L2840"/>
  <c r="M2840"/>
  <c r="K89"/>
  <c r="L90"/>
  <c r="M90"/>
  <c r="M1045"/>
  <c r="L1045"/>
  <c r="M1211"/>
  <c r="L1211"/>
  <c r="L758"/>
  <c r="M758"/>
  <c r="H1712"/>
  <c r="L1712" s="1"/>
  <c r="L1713"/>
  <c r="K991"/>
  <c r="L992"/>
  <c r="M992"/>
  <c r="M2615"/>
  <c r="L2615"/>
  <c r="L1188"/>
  <c r="M1188"/>
  <c r="M104"/>
  <c r="L104"/>
  <c r="K2747"/>
  <c r="I1088"/>
  <c r="L2670"/>
  <c r="L573"/>
  <c r="E748" i="2"/>
  <c r="K1581" i="1"/>
  <c r="L1358"/>
  <c r="I283" i="2"/>
  <c r="I1876"/>
  <c r="L1162" i="1"/>
  <c r="K277"/>
  <c r="I300" i="2"/>
  <c r="K426" i="1"/>
  <c r="K82"/>
  <c r="I1422" i="2"/>
  <c r="I750"/>
  <c r="E1561"/>
  <c r="I1561" s="1"/>
  <c r="K2230" i="1"/>
  <c r="J1088"/>
  <c r="K1251"/>
  <c r="H1675"/>
  <c r="L1675" s="1"/>
  <c r="H2275"/>
  <c r="H2274" s="1"/>
  <c r="E1874" i="2"/>
  <c r="G1367"/>
  <c r="L1746" i="1"/>
  <c r="L1508"/>
  <c r="L2873"/>
  <c r="L2575"/>
  <c r="L1877"/>
  <c r="L875"/>
  <c r="L1133"/>
  <c r="L1931"/>
  <c r="M1931"/>
  <c r="L266"/>
  <c r="M266"/>
  <c r="L1192"/>
  <c r="M1192"/>
  <c r="L538"/>
  <c r="M538"/>
  <c r="K756"/>
  <c r="L757"/>
  <c r="M757"/>
  <c r="L526"/>
  <c r="M526"/>
  <c r="M2013"/>
  <c r="L2013"/>
  <c r="L2605"/>
  <c r="M2605"/>
  <c r="L98"/>
  <c r="M98"/>
  <c r="I1716"/>
  <c r="M1716" s="1"/>
  <c r="M1717"/>
  <c r="L764"/>
  <c r="M764"/>
  <c r="L2180"/>
  <c r="M2180"/>
  <c r="M793"/>
  <c r="L793"/>
  <c r="L1108"/>
  <c r="M1108"/>
  <c r="L2056"/>
  <c r="M2056"/>
  <c r="L301"/>
  <c r="M301"/>
  <c r="M1096"/>
  <c r="L1096"/>
  <c r="L2627"/>
  <c r="M2627"/>
  <c r="M867"/>
  <c r="L2494"/>
  <c r="M2494"/>
  <c r="K647"/>
  <c r="L651"/>
  <c r="M651"/>
  <c r="M1308"/>
  <c r="L1308"/>
  <c r="M1437"/>
  <c r="L1437"/>
  <c r="M1074"/>
  <c r="K254"/>
  <c r="L255"/>
  <c r="M255"/>
  <c r="L2203"/>
  <c r="M2203"/>
  <c r="M898"/>
  <c r="L898"/>
  <c r="I1648"/>
  <c r="M1648" s="1"/>
  <c r="M1649"/>
  <c r="M2578"/>
  <c r="L2578"/>
  <c r="M304"/>
  <c r="L304"/>
  <c r="L1071"/>
  <c r="M1071"/>
  <c r="M592"/>
  <c r="L592"/>
  <c r="M910"/>
  <c r="L910"/>
  <c r="L2851"/>
  <c r="M2851"/>
  <c r="M1085"/>
  <c r="L1085"/>
  <c r="M2061"/>
  <c r="L2061"/>
  <c r="L1317"/>
  <c r="M1317"/>
  <c r="L2160"/>
  <c r="M2160"/>
  <c r="K1506"/>
  <c r="M1507"/>
  <c r="L1507"/>
  <c r="L1361"/>
  <c r="M1361"/>
  <c r="L2371"/>
  <c r="M2371"/>
  <c r="M641"/>
  <c r="L641"/>
  <c r="L778"/>
  <c r="M778"/>
  <c r="L984"/>
  <c r="M984"/>
  <c r="K2187"/>
  <c r="L2188"/>
  <c r="M2188"/>
  <c r="L2531"/>
  <c r="M2531"/>
  <c r="L2215"/>
  <c r="M2215"/>
  <c r="M927"/>
  <c r="L927"/>
  <c r="M699"/>
  <c r="M2081"/>
  <c r="L2081"/>
  <c r="L2076"/>
  <c r="M2076"/>
  <c r="M2165"/>
  <c r="L2165"/>
  <c r="L1343"/>
  <c r="M1343"/>
  <c r="L2593"/>
  <c r="M2593"/>
  <c r="L2478"/>
  <c r="M2478"/>
  <c r="M449"/>
  <c r="M726"/>
  <c r="L726"/>
  <c r="M2943"/>
  <c r="L2943"/>
  <c r="L1927"/>
  <c r="M1927"/>
  <c r="M1533"/>
  <c r="L1533"/>
  <c r="L1807"/>
  <c r="M1807"/>
  <c r="L1155"/>
  <c r="M1155"/>
  <c r="L148"/>
  <c r="M148"/>
  <c r="L2442"/>
  <c r="M2442"/>
  <c r="L1418"/>
  <c r="M1418"/>
  <c r="M1257"/>
  <c r="L1257"/>
  <c r="M198"/>
  <c r="L198"/>
  <c r="M361"/>
  <c r="L361"/>
  <c r="L2287"/>
  <c r="M2287"/>
  <c r="K2530"/>
  <c r="L2534"/>
  <c r="M2534"/>
  <c r="L2391"/>
  <c r="M2391"/>
  <c r="M2845"/>
  <c r="L2845"/>
  <c r="L2026"/>
  <c r="M2026"/>
  <c r="M217"/>
  <c r="L217"/>
  <c r="L131"/>
  <c r="M131"/>
  <c r="L2739"/>
  <c r="M2739"/>
  <c r="L673"/>
  <c r="M673"/>
  <c r="M2008"/>
  <c r="M206"/>
  <c r="L206"/>
  <c r="L771"/>
  <c r="M771"/>
  <c r="M1379"/>
  <c r="L1379"/>
  <c r="L1967"/>
  <c r="M1967"/>
  <c r="M1266"/>
  <c r="L1266"/>
  <c r="K937"/>
  <c r="L938"/>
  <c r="M938"/>
  <c r="L339"/>
  <c r="M339"/>
  <c r="M978"/>
  <c r="L978"/>
  <c r="L1980"/>
  <c r="M1980"/>
  <c r="L1284"/>
  <c r="M1284"/>
  <c r="L1113"/>
  <c r="M1113"/>
  <c r="K2706"/>
  <c r="L2707"/>
  <c r="M2707"/>
  <c r="K1012"/>
  <c r="M1013"/>
  <c r="L1013"/>
  <c r="K2310"/>
  <c r="L2311"/>
  <c r="M2311"/>
  <c r="M2041"/>
  <c r="L2041"/>
  <c r="K2654"/>
  <c r="M2655"/>
  <c r="M1765"/>
  <c r="L1765"/>
  <c r="L1823"/>
  <c r="M1823"/>
  <c r="L1323"/>
  <c r="M1323"/>
  <c r="L1376"/>
  <c r="M1376"/>
  <c r="M1421"/>
  <c r="L1421"/>
  <c r="M1465"/>
  <c r="L1465"/>
  <c r="M396"/>
  <c r="L396"/>
  <c r="L329"/>
  <c r="M329"/>
  <c r="M366"/>
  <c r="L366"/>
  <c r="K2483"/>
  <c r="L2484"/>
  <c r="M2484"/>
  <c r="K250"/>
  <c r="L250" s="1"/>
  <c r="L251"/>
  <c r="M427"/>
  <c r="L427"/>
  <c r="M1516"/>
  <c r="L1516"/>
  <c r="M1957"/>
  <c r="L1957"/>
  <c r="L570"/>
  <c r="M570"/>
  <c r="L907"/>
  <c r="M907"/>
  <c r="K2509"/>
  <c r="L2510"/>
  <c r="M2510"/>
  <c r="L1258"/>
  <c r="M1258"/>
  <c r="L1936"/>
  <c r="M1936"/>
  <c r="L352"/>
  <c r="M352"/>
  <c r="K2488"/>
  <c r="M2489"/>
  <c r="L2489"/>
  <c r="L1232"/>
  <c r="M1232"/>
  <c r="L298"/>
  <c r="M298"/>
  <c r="K1611"/>
  <c r="L1612"/>
  <c r="M1612"/>
  <c r="M834"/>
  <c r="L834"/>
  <c r="M1613"/>
  <c r="I1614" i="2"/>
  <c r="E1608"/>
  <c r="E1607" s="1"/>
  <c r="J1264" i="1"/>
  <c r="J1263" s="1"/>
  <c r="J1262" s="1"/>
  <c r="J1248" s="1"/>
  <c r="H484"/>
  <c r="L484" s="1"/>
  <c r="I648" i="2"/>
  <c r="H299"/>
  <c r="H424"/>
  <c r="H388" s="1"/>
  <c r="L928" i="1"/>
  <c r="H1015" i="2"/>
  <c r="H1014" s="1"/>
  <c r="L220" i="1"/>
  <c r="L1851"/>
  <c r="K1044"/>
  <c r="L1048"/>
  <c r="M1048"/>
  <c r="L2984"/>
  <c r="M2984"/>
  <c r="M695"/>
  <c r="L695"/>
  <c r="L2547"/>
  <c r="M2547"/>
  <c r="L2676"/>
  <c r="M2676"/>
  <c r="M1495"/>
  <c r="L1495"/>
  <c r="L2596"/>
  <c r="M2596"/>
  <c r="L644"/>
  <c r="M644"/>
  <c r="L2096"/>
  <c r="M2096"/>
  <c r="L1367"/>
  <c r="M1367"/>
  <c r="L1598"/>
  <c r="M1598"/>
  <c r="L2191"/>
  <c r="M2191"/>
  <c r="L1003"/>
  <c r="M1003"/>
  <c r="L852"/>
  <c r="M852"/>
  <c r="M2454"/>
  <c r="L2454"/>
  <c r="M1406"/>
  <c r="L1406"/>
  <c r="M743"/>
  <c r="L743"/>
  <c r="L151"/>
  <c r="M151"/>
  <c r="L2499"/>
  <c r="M2499"/>
  <c r="L1443"/>
  <c r="M1443"/>
  <c r="M1773"/>
  <c r="L1773"/>
  <c r="L1329"/>
  <c r="M1329"/>
  <c r="M1021"/>
  <c r="L1021"/>
  <c r="K1243"/>
  <c r="M1244"/>
  <c r="L1244"/>
  <c r="L292"/>
  <c r="M292"/>
  <c r="M1831"/>
  <c r="M704"/>
  <c r="L1364"/>
  <c r="M1364"/>
  <c r="M137"/>
  <c r="L137"/>
  <c r="M1591"/>
  <c r="L1591"/>
  <c r="H1648"/>
  <c r="L1648" s="1"/>
  <c r="L1649"/>
  <c r="K1526"/>
  <c r="L1527"/>
  <c r="M1527"/>
  <c r="M523"/>
  <c r="L523"/>
  <c r="L333"/>
  <c r="M333"/>
  <c r="K500"/>
  <c r="L501"/>
  <c r="M501"/>
  <c r="L72"/>
  <c r="M72"/>
  <c r="J1125" i="2"/>
  <c r="H1121"/>
  <c r="J1121" s="1"/>
  <c r="L860" i="1"/>
  <c r="M860"/>
  <c r="M922"/>
  <c r="L922"/>
  <c r="M682"/>
  <c r="L682"/>
  <c r="L228"/>
  <c r="M228"/>
  <c r="M313"/>
  <c r="L313"/>
  <c r="K654"/>
  <c r="M655"/>
  <c r="M2349"/>
  <c r="L2349"/>
  <c r="M175"/>
  <c r="L175"/>
  <c r="L2340"/>
  <c r="M2340"/>
  <c r="M2018"/>
  <c r="M1433"/>
  <c r="L1433"/>
  <c r="M2394"/>
  <c r="L2394"/>
  <c r="L1939"/>
  <c r="M1939"/>
  <c r="L95"/>
  <c r="M95"/>
  <c r="M837"/>
  <c r="L914"/>
  <c r="M914"/>
  <c r="L1923"/>
  <c r="M1923"/>
  <c r="L433"/>
  <c r="M433"/>
  <c r="L604"/>
  <c r="M604"/>
  <c r="L2872"/>
  <c r="M2872"/>
  <c r="L1137"/>
  <c r="M1137"/>
  <c r="M969"/>
  <c r="L969"/>
  <c r="L2788"/>
  <c r="M2788"/>
  <c r="L2831"/>
  <c r="M2831"/>
  <c r="M2624"/>
  <c r="L2624"/>
  <c r="L1995"/>
  <c r="M1995"/>
  <c r="I1635"/>
  <c r="M1635" s="1"/>
  <c r="M1636"/>
  <c r="M1346"/>
  <c r="L1346"/>
  <c r="L1352"/>
  <c r="M1352"/>
  <c r="M781"/>
  <c r="L781"/>
  <c r="L348"/>
  <c r="M348"/>
  <c r="I1712"/>
  <c r="M1712" s="1"/>
  <c r="M1713"/>
  <c r="L492"/>
  <c r="M492"/>
  <c r="M440"/>
  <c r="L355"/>
  <c r="M355"/>
  <c r="L2448"/>
  <c r="M2448"/>
  <c r="L2321"/>
  <c r="M2321"/>
  <c r="L466"/>
  <c r="M466"/>
  <c r="L1492"/>
  <c r="M1492"/>
  <c r="M2114"/>
  <c r="L2114"/>
  <c r="M822"/>
  <c r="L822"/>
  <c r="L2471"/>
  <c r="M2471"/>
  <c r="L530"/>
  <c r="M530"/>
  <c r="M365"/>
  <c r="L1275"/>
  <c r="M1275"/>
  <c r="L2036"/>
  <c r="M2036"/>
  <c r="L580"/>
  <c r="M580"/>
  <c r="M49"/>
  <c r="L49"/>
  <c r="M2137"/>
  <c r="L2137"/>
  <c r="K2680"/>
  <c r="M2681"/>
  <c r="L1990"/>
  <c r="M1990"/>
  <c r="M1338"/>
  <c r="L1338"/>
  <c r="L2066"/>
  <c r="M2066"/>
  <c r="L2152"/>
  <c r="M2152"/>
  <c r="M1314"/>
  <c r="L1314"/>
  <c r="M1370"/>
  <c r="L1370"/>
  <c r="L1415"/>
  <c r="M1415"/>
  <c r="M1461"/>
  <c r="L1461"/>
  <c r="L1866"/>
  <c r="M1866"/>
  <c r="M1009"/>
  <c r="L1009"/>
  <c r="L616"/>
  <c r="M616"/>
  <c r="L2196"/>
  <c r="M2196"/>
  <c r="M1031"/>
  <c r="L1031"/>
  <c r="L2412"/>
  <c r="M2412"/>
  <c r="M1207"/>
  <c r="L1207"/>
  <c r="M1127"/>
  <c r="L1127"/>
  <c r="K1666"/>
  <c r="M2782"/>
  <c r="L2782"/>
  <c r="M145"/>
  <c r="L145"/>
  <c r="L1886"/>
  <c r="M1886"/>
  <c r="K1544"/>
  <c r="L1544" s="1"/>
  <c r="L1545"/>
  <c r="K624"/>
  <c r="L625"/>
  <c r="M625"/>
  <c r="L1582"/>
  <c r="M1582"/>
  <c r="M342"/>
  <c r="L342"/>
  <c r="L666"/>
  <c r="M666"/>
  <c r="L723"/>
  <c r="M723"/>
  <c r="L2368"/>
  <c r="M2368"/>
  <c r="L2192"/>
  <c r="M2192"/>
  <c r="M2846"/>
  <c r="L2846"/>
  <c r="M1576"/>
  <c r="L1576"/>
  <c r="L214"/>
  <c r="M214"/>
  <c r="K943"/>
  <c r="L944"/>
  <c r="M944"/>
  <c r="L2543"/>
  <c r="M2543"/>
  <c r="K2124"/>
  <c r="L2125"/>
  <c r="M281"/>
  <c r="L281"/>
  <c r="L481"/>
  <c r="K1949"/>
  <c r="I1024" i="2"/>
  <c r="L805" i="1"/>
  <c r="L2552"/>
  <c r="I496" i="2"/>
  <c r="I1646"/>
  <c r="K1540" i="1"/>
  <c r="L1540" s="1"/>
  <c r="K2477"/>
  <c r="I726" i="2"/>
  <c r="L2586" i="1"/>
  <c r="K2199"/>
  <c r="K94"/>
  <c r="K2539"/>
  <c r="H1137" i="2"/>
  <c r="L2929" i="1"/>
  <c r="L454"/>
  <c r="L2044"/>
  <c r="L317"/>
  <c r="L1613"/>
  <c r="I2585"/>
  <c r="M2586"/>
  <c r="L2361"/>
  <c r="M2361"/>
  <c r="K236"/>
  <c r="J1659" i="2"/>
  <c r="H1658"/>
  <c r="I1658" s="1"/>
  <c r="J1007"/>
  <c r="H1006"/>
  <c r="L24" i="1"/>
  <c r="I1010" i="2"/>
  <c r="I1610"/>
  <c r="K2274" i="1"/>
  <c r="I1877" i="2"/>
  <c r="I1285"/>
  <c r="I1267"/>
  <c r="J1764" i="1"/>
  <c r="J1754" s="1"/>
  <c r="J1753" s="1"/>
  <c r="J1752" s="1"/>
  <c r="J1736" s="1"/>
  <c r="H720" i="2"/>
  <c r="J355"/>
  <c r="H351"/>
  <c r="J1760"/>
  <c r="H1756"/>
  <c r="H1755" s="1"/>
  <c r="K995" i="1"/>
  <c r="J1261" i="2"/>
  <c r="H1257"/>
  <c r="J1527"/>
  <c r="H1523"/>
  <c r="H1522" s="1"/>
  <c r="E1542"/>
  <c r="I1542" s="1"/>
  <c r="K20" i="1"/>
  <c r="M20" s="1"/>
  <c r="I897" i="2"/>
  <c r="F388"/>
  <c r="J974"/>
  <c r="H973"/>
  <c r="J973" s="1"/>
  <c r="K373" i="1"/>
  <c r="H1662"/>
  <c r="L1662" s="1"/>
  <c r="J1643" i="2"/>
  <c r="H1642"/>
  <c r="J1642" s="1"/>
  <c r="H1278"/>
  <c r="H1277" s="1"/>
  <c r="I870"/>
  <c r="I1288"/>
  <c r="I332"/>
  <c r="I885"/>
  <c r="K395" i="1"/>
  <c r="G388" i="2"/>
  <c r="H103"/>
  <c r="H11" s="1"/>
  <c r="J360"/>
  <c r="H359"/>
  <c r="H167" s="1"/>
  <c r="I1662" i="1"/>
  <c r="M1662" s="1"/>
  <c r="K140"/>
  <c r="I1880" i="2"/>
  <c r="I1899"/>
  <c r="H795"/>
  <c r="H2009"/>
  <c r="K1862" i="1"/>
  <c r="K1472"/>
  <c r="K1464"/>
  <c r="K1449"/>
  <c r="I1265"/>
  <c r="I1264" s="1"/>
  <c r="I1263" s="1"/>
  <c r="K1088"/>
  <c r="K180"/>
  <c r="I91" i="3"/>
  <c r="J91"/>
  <c r="E1904" i="2"/>
  <c r="E1897" s="1"/>
  <c r="I1897" s="1"/>
  <c r="H2554" i="1"/>
  <c r="H2546" s="1"/>
  <c r="H2520" s="1"/>
  <c r="J669"/>
  <c r="I2074" i="2"/>
  <c r="H2681" i="1"/>
  <c r="H2680" s="1"/>
  <c r="E339" i="2"/>
  <c r="E1056"/>
  <c r="I1056" s="1"/>
  <c r="I345"/>
  <c r="J48" i="1"/>
  <c r="J40" s="1"/>
  <c r="J39" s="1"/>
  <c r="J17" s="1"/>
  <c r="H2915"/>
  <c r="H2914" s="1"/>
  <c r="H2913" s="1"/>
  <c r="H2912" s="1"/>
  <c r="I1712" i="2"/>
  <c r="H2655" i="1"/>
  <c r="L2655" s="1"/>
  <c r="I1832" i="2"/>
  <c r="E523"/>
  <c r="E520" s="1"/>
  <c r="I520" s="1"/>
  <c r="I1410"/>
  <c r="G802" i="1"/>
  <c r="I504" i="2"/>
  <c r="G2492" i="1"/>
  <c r="H470"/>
  <c r="G2254"/>
  <c r="G2253" s="1"/>
  <c r="G2252" s="1"/>
  <c r="G2251" s="1"/>
  <c r="I1884" i="2"/>
  <c r="E500"/>
  <c r="I500" s="1"/>
  <c r="I1885"/>
  <c r="H1707" i="1"/>
  <c r="G2346"/>
  <c r="G2345" s="1"/>
  <c r="G2325" s="1"/>
  <c r="G1901"/>
  <c r="G1900" s="1"/>
  <c r="G1899" s="1"/>
  <c r="I2968"/>
  <c r="G497"/>
  <c r="J2927"/>
  <c r="J2926" s="1"/>
  <c r="J2925" s="1"/>
  <c r="J2924" s="1"/>
  <c r="J2923" s="1"/>
  <c r="H2352"/>
  <c r="H2347" s="1"/>
  <c r="H2968"/>
  <c r="G1589"/>
  <c r="G1588" s="1"/>
  <c r="G1569" s="1"/>
  <c r="G2968"/>
  <c r="H1854"/>
  <c r="L1854" s="1"/>
  <c r="I2446"/>
  <c r="I2445" s="1"/>
  <c r="I1131"/>
  <c r="J1210"/>
  <c r="J1202" s="1"/>
  <c r="J1201" s="1"/>
  <c r="J1200" s="1"/>
  <c r="H999"/>
  <c r="H973" s="1"/>
  <c r="K974"/>
  <c r="L974" s="1"/>
  <c r="H1436"/>
  <c r="J1589"/>
  <c r="H112"/>
  <c r="G1131"/>
  <c r="G2461"/>
  <c r="G2460" s="1"/>
  <c r="G2459" s="1"/>
  <c r="G80"/>
  <c r="G79" s="1"/>
  <c r="G48"/>
  <c r="G40" s="1"/>
  <c r="G39" s="1"/>
  <c r="G17" s="1"/>
  <c r="J1901"/>
  <c r="J1900" s="1"/>
  <c r="J1899" s="1"/>
  <c r="I2352"/>
  <c r="I2347" s="1"/>
  <c r="H1690"/>
  <c r="L1690" s="1"/>
  <c r="K804"/>
  <c r="G469"/>
  <c r="G463" s="1"/>
  <c r="G462" s="1"/>
  <c r="J2546"/>
  <c r="J2520" s="1"/>
  <c r="I522"/>
  <c r="I521" s="1"/>
  <c r="I520" s="1"/>
  <c r="H714"/>
  <c r="L714" s="1"/>
  <c r="I2367"/>
  <c r="I2366" s="1"/>
  <c r="H2297"/>
  <c r="H2296" s="1"/>
  <c r="H2295" s="1"/>
  <c r="H867"/>
  <c r="L867" s="1"/>
  <c r="G2771"/>
  <c r="I2238"/>
  <c r="I2237" s="1"/>
  <c r="I2236" s="1"/>
  <c r="I2235" s="1"/>
  <c r="I1689"/>
  <c r="M1689" s="1"/>
  <c r="I2255"/>
  <c r="H2429"/>
  <c r="H2428" s="1"/>
  <c r="H2427" s="1"/>
  <c r="H2426" s="1"/>
  <c r="H2425" s="1"/>
  <c r="K2352"/>
  <c r="K2367"/>
  <c r="I1590"/>
  <c r="I1589" s="1"/>
  <c r="I1588" s="1"/>
  <c r="J469"/>
  <c r="J463" s="1"/>
  <c r="J462" s="1"/>
  <c r="J2352"/>
  <c r="J2347" s="1"/>
  <c r="H2403"/>
  <c r="K504"/>
  <c r="J80"/>
  <c r="J79" s="1"/>
  <c r="J2730"/>
  <c r="J2729" s="1"/>
  <c r="J2728" s="1"/>
  <c r="J586"/>
  <c r="J565" s="1"/>
  <c r="J564" s="1"/>
  <c r="G1830"/>
  <c r="G1829" s="1"/>
  <c r="G1817" s="1"/>
  <c r="G1816" s="1"/>
  <c r="J2151"/>
  <c r="J2143" s="1"/>
  <c r="J2142" s="1"/>
  <c r="H837"/>
  <c r="H821" s="1"/>
  <c r="G866"/>
  <c r="G865" s="1"/>
  <c r="H2367"/>
  <c r="H2366" s="1"/>
  <c r="J2403"/>
  <c r="I669"/>
  <c r="J2366"/>
  <c r="H2730"/>
  <c r="H2729" s="1"/>
  <c r="J2461"/>
  <c r="J2460" s="1"/>
  <c r="J2459" s="1"/>
  <c r="J1883" i="2"/>
  <c r="I1280"/>
  <c r="J1280"/>
  <c r="I1181"/>
  <c r="J704"/>
  <c r="E1104"/>
  <c r="E1097" s="1"/>
  <c r="J699"/>
  <c r="I1669"/>
  <c r="I1685"/>
  <c r="G2151" i="1"/>
  <c r="G2143" s="1"/>
  <c r="G2142" s="1"/>
  <c r="K1819"/>
  <c r="G233"/>
  <c r="H1902"/>
  <c r="L1902" s="1"/>
  <c r="H1653"/>
  <c r="H2256"/>
  <c r="K2405"/>
  <c r="H383"/>
  <c r="L383" s="1"/>
  <c r="I1901"/>
  <c r="I1900" s="1"/>
  <c r="H2927"/>
  <c r="H2926" s="1"/>
  <c r="H2925" s="1"/>
  <c r="H2924" s="1"/>
  <c r="H2923" s="1"/>
  <c r="I866"/>
  <c r="I865" s="1"/>
  <c r="G2546"/>
  <c r="G2520" s="1"/>
  <c r="J1830"/>
  <c r="J1829" s="1"/>
  <c r="J1817" s="1"/>
  <c r="J1816" s="1"/>
  <c r="K190"/>
  <c r="K1764"/>
  <c r="K332"/>
  <c r="H1137"/>
  <c r="I2546"/>
  <c r="I2520" s="1"/>
  <c r="I626" i="2"/>
  <c r="I1060"/>
  <c r="I395"/>
  <c r="I154"/>
  <c r="I1556"/>
  <c r="I1198"/>
  <c r="H2773" i="1"/>
  <c r="H2772" s="1"/>
  <c r="H2771" s="1"/>
  <c r="I1675" i="2"/>
  <c r="I2274" i="1"/>
  <c r="K291"/>
  <c r="E1213" i="2"/>
  <c r="E1212" s="1"/>
  <c r="J2771" i="1"/>
  <c r="I698"/>
  <c r="G439"/>
  <c r="G406" s="1"/>
  <c r="G405" s="1"/>
  <c r="G379" s="1"/>
  <c r="H407"/>
  <c r="K1210"/>
  <c r="H775"/>
  <c r="I1051" i="2"/>
  <c r="J1131" i="1"/>
  <c r="I1436"/>
  <c r="K297"/>
  <c r="E1065" i="2"/>
  <c r="I1065" s="1"/>
  <c r="I1414"/>
  <c r="J2255" i="1"/>
  <c r="J2254" s="1"/>
  <c r="J2253" s="1"/>
  <c r="I2461"/>
  <c r="I2460" s="1"/>
  <c r="I2459" s="1"/>
  <c r="I1199" i="2"/>
  <c r="I1215"/>
  <c r="J934" i="1"/>
  <c r="H2839"/>
  <c r="K2592"/>
  <c r="I1200" i="2"/>
  <c r="H2745" i="1"/>
  <c r="J1488"/>
  <c r="G1210"/>
  <c r="G1202" s="1"/>
  <c r="G1201" s="1"/>
  <c r="G1200" s="1"/>
  <c r="I2927"/>
  <c r="I2926" s="1"/>
  <c r="I2925" s="1"/>
  <c r="I2924" s="1"/>
  <c r="I2923" s="1"/>
  <c r="K2218"/>
  <c r="J166"/>
  <c r="J165" s="1"/>
  <c r="J164" s="1"/>
  <c r="I2714"/>
  <c r="I2705" s="1"/>
  <c r="I2704" s="1"/>
  <c r="I2703" s="1"/>
  <c r="I2702" s="1"/>
  <c r="G2591"/>
  <c r="G2583" s="1"/>
  <c r="G2582" s="1"/>
  <c r="J698"/>
  <c r="K1935"/>
  <c r="K2781"/>
  <c r="H266"/>
  <c r="H265" s="1"/>
  <c r="H264" s="1"/>
  <c r="H258" s="1"/>
  <c r="H1668"/>
  <c r="L1668" s="1"/>
  <c r="I439"/>
  <c r="J1667"/>
  <c r="J1666" s="1"/>
  <c r="H704"/>
  <c r="L704" s="1"/>
  <c r="I1044"/>
  <c r="I1043" s="1"/>
  <c r="I1042" s="1"/>
  <c r="G698"/>
  <c r="G636" s="1"/>
  <c r="G635" s="1"/>
  <c r="H365"/>
  <c r="H364" s="1"/>
  <c r="H2238"/>
  <c r="H2237" s="1"/>
  <c r="H2236" s="1"/>
  <c r="H2235" s="1"/>
  <c r="K787"/>
  <c r="G2186"/>
  <c r="G2185" s="1"/>
  <c r="G2730"/>
  <c r="G2729" s="1"/>
  <c r="G2728" s="1"/>
  <c r="J2446"/>
  <c r="J2445" s="1"/>
  <c r="H1589"/>
  <c r="H1588" s="1"/>
  <c r="H1569" s="1"/>
  <c r="J2591"/>
  <c r="J2583" s="1"/>
  <c r="J2582" s="1"/>
  <c r="H277"/>
  <c r="H276" s="1"/>
  <c r="H2592"/>
  <c r="H2591" s="1"/>
  <c r="H2583" s="1"/>
  <c r="H2582" s="1"/>
  <c r="I586"/>
  <c r="I565" s="1"/>
  <c r="I564" s="1"/>
  <c r="I1506"/>
  <c r="I1505" s="1"/>
  <c r="I1504" s="1"/>
  <c r="J439"/>
  <c r="J406" s="1"/>
  <c r="J405" s="1"/>
  <c r="J379" s="1"/>
  <c r="H2714"/>
  <c r="H2705" s="1"/>
  <c r="H2704" s="1"/>
  <c r="H2703" s="1"/>
  <c r="H2702" s="1"/>
  <c r="J2828"/>
  <c r="J2827" s="1"/>
  <c r="J2968"/>
  <c r="I297"/>
  <c r="I290" s="1"/>
  <c r="I275" s="1"/>
  <c r="K1830"/>
  <c r="K2339"/>
  <c r="K637"/>
  <c r="H2461"/>
  <c r="H2460" s="1"/>
  <c r="H2459" s="1"/>
  <c r="J1963"/>
  <c r="J1962" s="1"/>
  <c r="J1961" s="1"/>
  <c r="K1020"/>
  <c r="I1764"/>
  <c r="I1754" s="1"/>
  <c r="I1753" s="1"/>
  <c r="I1752" s="1"/>
  <c r="I1736" s="1"/>
  <c r="J866"/>
  <c r="J865" s="1"/>
  <c r="J2492"/>
  <c r="I1873"/>
  <c r="I1872" s="1"/>
  <c r="I1871" s="1"/>
  <c r="I1870" s="1"/>
  <c r="K114"/>
  <c r="I622" i="2"/>
  <c r="I1681"/>
  <c r="H127" i="1"/>
  <c r="H126" s="1"/>
  <c r="J2294"/>
  <c r="I1130" i="2"/>
  <c r="I486"/>
  <c r="H2018" i="1"/>
  <c r="L2018" s="1"/>
  <c r="E1091" i="2"/>
  <c r="I1091" s="1"/>
  <c r="I1099"/>
  <c r="I402"/>
  <c r="H1862" i="1"/>
  <c r="H1831"/>
  <c r="L1831" s="1"/>
  <c r="J1384" i="2"/>
  <c r="I1384"/>
  <c r="I1382"/>
  <c r="J1381"/>
  <c r="H1764" i="1"/>
  <c r="H1624"/>
  <c r="I1765" i="2"/>
  <c r="E176"/>
  <c r="E175" s="1"/>
  <c r="H1064" i="1"/>
  <c r="H1811"/>
  <c r="K1560"/>
  <c r="G1667"/>
  <c r="G1666" s="1"/>
  <c r="J775"/>
  <c r="G111"/>
  <c r="G973"/>
  <c r="G972" s="1"/>
  <c r="J275"/>
  <c r="K197"/>
  <c r="I2592"/>
  <c r="J125"/>
  <c r="J111" s="1"/>
  <c r="H699"/>
  <c r="L699" s="1"/>
  <c r="H1524"/>
  <c r="J1634"/>
  <c r="J1622" s="1"/>
  <c r="G1488"/>
  <c r="J896"/>
  <c r="J321"/>
  <c r="J320" s="1"/>
  <c r="J497"/>
  <c r="K631"/>
  <c r="K770"/>
  <c r="K796"/>
  <c r="L796" s="1"/>
  <c r="H395"/>
  <c r="H394" s="1"/>
  <c r="H393" s="1"/>
  <c r="G1963"/>
  <c r="G1962" s="1"/>
  <c r="G1961" s="1"/>
  <c r="H2446"/>
  <c r="H2445" s="1"/>
  <c r="H522"/>
  <c r="H521" s="1"/>
  <c r="H520" s="1"/>
  <c r="K2604"/>
  <c r="I469"/>
  <c r="I463" s="1"/>
  <c r="I462" s="1"/>
  <c r="M10"/>
  <c r="H508"/>
  <c r="K2585"/>
  <c r="K2623"/>
  <c r="K1604"/>
  <c r="K999"/>
  <c r="K2752"/>
  <c r="G1754"/>
  <c r="G1753" s="1"/>
  <c r="G1752" s="1"/>
  <c r="G1736" s="1"/>
  <c r="G565"/>
  <c r="G564" s="1"/>
  <c r="I103"/>
  <c r="J520"/>
  <c r="G275"/>
  <c r="I132" i="2"/>
  <c r="G1088" i="1"/>
  <c r="I500"/>
  <c r="K821"/>
  <c r="I71"/>
  <c r="I70" s="1"/>
  <c r="I133" i="2"/>
  <c r="G321" i="1"/>
  <c r="G320" s="1"/>
  <c r="I2855"/>
  <c r="I2854" s="1"/>
  <c r="I2843" s="1"/>
  <c r="I2186"/>
  <c r="I2185" s="1"/>
  <c r="K1168"/>
  <c r="I775"/>
  <c r="I1020"/>
  <c r="I1019" s="1"/>
  <c r="I1018" s="1"/>
  <c r="H2483"/>
  <c r="K960"/>
  <c r="K205"/>
  <c r="G896"/>
  <c r="G886" s="1"/>
  <c r="G885" s="1"/>
  <c r="G884" s="1"/>
  <c r="H2855"/>
  <c r="H2854" s="1"/>
  <c r="H2843" s="1"/>
  <c r="H166"/>
  <c r="H165" s="1"/>
  <c r="H164" s="1"/>
  <c r="K1436"/>
  <c r="I821"/>
  <c r="I802" s="1"/>
  <c r="E2151" i="2"/>
  <c r="I2151" s="1"/>
  <c r="J203"/>
  <c r="I204"/>
  <c r="I206"/>
  <c r="I1001"/>
  <c r="H1450" i="1"/>
  <c r="L1450" s="1"/>
  <c r="H1338"/>
  <c r="H1265" s="1"/>
  <c r="H1123"/>
  <c r="H1088"/>
  <c r="I1538" i="2"/>
  <c r="J1538"/>
  <c r="H1074" i="1"/>
  <c r="L1074" s="1"/>
  <c r="H1027"/>
  <c r="H1020" s="1"/>
  <c r="I743" i="2"/>
  <c r="E760"/>
  <c r="I760" s="1"/>
  <c r="I704"/>
  <c r="H804" i="1"/>
  <c r="J678" i="2"/>
  <c r="I678"/>
  <c r="I673"/>
  <c r="J673"/>
  <c r="J802" i="1"/>
  <c r="I1515" i="2"/>
  <c r="I59"/>
  <c r="I64"/>
  <c r="E1509"/>
  <c r="I1514"/>
  <c r="I69"/>
  <c r="E57"/>
  <c r="E56" s="1"/>
  <c r="I148"/>
  <c r="K2958" i="1"/>
  <c r="I1572"/>
  <c r="I1571" s="1"/>
  <c r="I1570" s="1"/>
  <c r="K2397"/>
  <c r="K364"/>
  <c r="K2830"/>
  <c r="K2348"/>
  <c r="I1123"/>
  <c r="K968"/>
  <c r="K2794"/>
  <c r="L2794" s="1"/>
  <c r="K1060"/>
  <c r="H1818"/>
  <c r="K470"/>
  <c r="M11"/>
  <c r="G2828"/>
  <c r="G2827" s="1"/>
  <c r="I897"/>
  <c r="K2493"/>
  <c r="I127"/>
  <c r="I126" s="1"/>
  <c r="I2781"/>
  <c r="I2780" s="1"/>
  <c r="I2771" s="1"/>
  <c r="K360"/>
  <c r="I2403"/>
  <c r="K1552"/>
  <c r="I67" i="2"/>
  <c r="I166" i="1"/>
  <c r="I165" s="1"/>
  <c r="I164" s="1"/>
  <c r="H2492"/>
  <c r="K1178"/>
  <c r="K127"/>
  <c r="K560"/>
  <c r="K2954"/>
  <c r="K48"/>
  <c r="I2730"/>
  <c r="I2729" s="1"/>
  <c r="I2728" s="1"/>
  <c r="K156"/>
  <c r="K2914"/>
  <c r="J2186"/>
  <c r="J2185" s="1"/>
  <c r="I65" i="2"/>
  <c r="H586" i="1"/>
  <c r="H565" s="1"/>
  <c r="I1830"/>
  <c r="K555"/>
  <c r="I1682"/>
  <c r="M1682" s="1"/>
  <c r="I2509"/>
  <c r="I1064"/>
  <c r="K2286"/>
  <c r="K2844"/>
  <c r="K2513"/>
  <c r="K2136"/>
  <c r="H1012"/>
  <c r="K545"/>
  <c r="K2296"/>
  <c r="K522"/>
  <c r="K891"/>
  <c r="H897"/>
  <c r="H896" s="1"/>
  <c r="H886" s="1"/>
  <c r="K2562"/>
  <c r="H71"/>
  <c r="K576"/>
  <c r="H1478"/>
  <c r="K2730"/>
  <c r="K2773"/>
  <c r="L2773" s="1"/>
  <c r="I1581"/>
  <c r="H1251"/>
  <c r="E1451" i="2"/>
  <c r="K2835" i="1"/>
  <c r="K2850"/>
  <c r="H2622"/>
  <c r="K1893"/>
  <c r="K213"/>
  <c r="I2654"/>
  <c r="K1479"/>
  <c r="K586"/>
  <c r="H1755"/>
  <c r="H1949"/>
  <c r="G1634"/>
  <c r="G1622" s="1"/>
  <c r="I138" i="2"/>
  <c r="H647" i="1"/>
  <c r="J57" i="2"/>
  <c r="J64"/>
  <c r="J60"/>
  <c r="J68"/>
  <c r="I68"/>
  <c r="I163"/>
  <c r="H655" i="1"/>
  <c r="H654" s="1"/>
  <c r="H637"/>
  <c r="H623"/>
  <c r="H615"/>
  <c r="H614" s="1"/>
  <c r="H613" s="1"/>
  <c r="H607"/>
  <c r="E12" i="2"/>
  <c r="I13"/>
  <c r="J13"/>
  <c r="I37"/>
  <c r="J2116"/>
  <c r="I1786"/>
  <c r="E1496"/>
  <c r="I1496" s="1"/>
  <c r="J570"/>
  <c r="I36"/>
  <c r="E87"/>
  <c r="E83" s="1"/>
  <c r="J1430"/>
  <c r="I213"/>
  <c r="D274"/>
  <c r="J1654"/>
  <c r="I630"/>
  <c r="E303"/>
  <c r="I303" s="1"/>
  <c r="E1335"/>
  <c r="I1335" s="1"/>
  <c r="J1830"/>
  <c r="I2039"/>
  <c r="J1415"/>
  <c r="J1044"/>
  <c r="J303"/>
  <c r="I668"/>
  <c r="J501"/>
  <c r="I375"/>
  <c r="I2106"/>
  <c r="J525"/>
  <c r="I143"/>
  <c r="I535"/>
  <c r="I403"/>
  <c r="D2090"/>
  <c r="J143"/>
  <c r="I1185"/>
  <c r="I1748"/>
  <c r="J93"/>
  <c r="J2111"/>
  <c r="J1476"/>
  <c r="J2124"/>
  <c r="J1067"/>
  <c r="I1295"/>
  <c r="I1182"/>
  <c r="J1677"/>
  <c r="E1175"/>
  <c r="E1174" s="1"/>
  <c r="J2043"/>
  <c r="E1427"/>
  <c r="I1632"/>
  <c r="J760"/>
  <c r="I1783"/>
  <c r="D617"/>
  <c r="D642"/>
  <c r="I934"/>
  <c r="J74"/>
  <c r="J1633"/>
  <c r="J1421"/>
  <c r="J2039"/>
  <c r="J1455"/>
  <c r="J757"/>
  <c r="I1027"/>
  <c r="J2042"/>
  <c r="J770"/>
  <c r="D103"/>
  <c r="J585"/>
  <c r="J403"/>
  <c r="E651"/>
  <c r="J1590"/>
  <c r="I895"/>
  <c r="I1508"/>
  <c r="J721"/>
  <c r="E1408"/>
  <c r="E1407" s="1"/>
  <c r="I1423"/>
  <c r="I1677"/>
  <c r="J1748"/>
  <c r="I633"/>
  <c r="D87"/>
  <c r="D83" s="1"/>
  <c r="I1676"/>
  <c r="J1743"/>
  <c r="I324"/>
  <c r="H499" i="1"/>
  <c r="I1255" i="2"/>
  <c r="I1251"/>
  <c r="H480" i="1"/>
  <c r="H469" s="1"/>
  <c r="H463" s="1"/>
  <c r="H462" s="1"/>
  <c r="I1516" i="2"/>
  <c r="I1518"/>
  <c r="I1517"/>
  <c r="I1511"/>
  <c r="H440" i="1"/>
  <c r="I1456" i="2"/>
  <c r="E1950"/>
  <c r="I1950" s="1"/>
  <c r="H332" i="1"/>
  <c r="E1548" i="2"/>
  <c r="I1548" s="1"/>
  <c r="H241" i="1"/>
  <c r="L241" s="1"/>
  <c r="H188"/>
  <c r="H187" s="1"/>
  <c r="H155"/>
  <c r="I1591" i="2"/>
  <c r="J1782"/>
  <c r="I1739"/>
  <c r="I1159"/>
  <c r="D339"/>
  <c r="D991"/>
  <c r="D987" s="1"/>
  <c r="D794" s="1"/>
  <c r="J988"/>
  <c r="I1059"/>
  <c r="I2125"/>
  <c r="J1783"/>
  <c r="I1428"/>
  <c r="J2025"/>
  <c r="J464"/>
  <c r="J505"/>
  <c r="I289"/>
  <c r="I2116"/>
  <c r="I1085"/>
  <c r="J243"/>
  <c r="J2106"/>
  <c r="J643"/>
  <c r="J560"/>
  <c r="J630"/>
  <c r="I2136"/>
  <c r="I1186"/>
  <c r="D1756"/>
  <c r="D1755" s="1"/>
  <c r="D1419"/>
  <c r="D1367" s="1"/>
  <c r="E444"/>
  <c r="I444" s="1"/>
  <c r="E1841"/>
  <c r="I1841" s="1"/>
  <c r="D1964"/>
  <c r="D1962" s="1"/>
  <c r="J487"/>
  <c r="I627"/>
  <c r="J244"/>
  <c r="J550"/>
  <c r="D1490"/>
  <c r="D1489" s="1"/>
  <c r="D1453" s="1"/>
  <c r="I1362"/>
  <c r="J2077"/>
  <c r="E1939"/>
  <c r="E1499"/>
  <c r="J2098"/>
  <c r="I644"/>
  <c r="J644"/>
  <c r="I928"/>
  <c r="J1059"/>
  <c r="I1933"/>
  <c r="J735"/>
  <c r="I931"/>
  <c r="J1609"/>
  <c r="J1886"/>
  <c r="I1852"/>
  <c r="J1182"/>
  <c r="I508"/>
  <c r="I1674"/>
  <c r="I1823"/>
  <c r="J1701"/>
  <c r="E1190"/>
  <c r="J2101"/>
  <c r="J535"/>
  <c r="J1110"/>
  <c r="E1369"/>
  <c r="E1368" s="1"/>
  <c r="J1360"/>
  <c r="I1718"/>
  <c r="J414"/>
  <c r="I263"/>
  <c r="J281"/>
  <c r="J1249"/>
  <c r="J927"/>
  <c r="J1079"/>
  <c r="J1892"/>
  <c r="I833"/>
  <c r="E2063"/>
  <c r="E2062" s="1"/>
  <c r="J1161"/>
  <c r="D2105"/>
  <c r="D2104" s="1"/>
  <c r="E487"/>
  <c r="I487" s="1"/>
  <c r="J1727"/>
  <c r="E882"/>
  <c r="I882" s="1"/>
  <c r="I1775"/>
  <c r="J189"/>
  <c r="I2092"/>
  <c r="I654"/>
  <c r="E238"/>
  <c r="J2087"/>
  <c r="J1335"/>
  <c r="J824"/>
  <c r="I1630"/>
  <c r="I824"/>
  <c r="J996"/>
  <c r="J239"/>
  <c r="I1654"/>
  <c r="J1416"/>
  <c r="D202"/>
  <c r="I667"/>
  <c r="J668"/>
  <c r="J315"/>
  <c r="J415"/>
  <c r="J1623"/>
  <c r="D1938"/>
  <c r="D1930" s="1"/>
  <c r="D1928" s="1"/>
  <c r="I391"/>
  <c r="J1561"/>
  <c r="I1271"/>
  <c r="I1655"/>
  <c r="I729"/>
  <c r="D393"/>
  <c r="D389" s="1"/>
  <c r="E2005"/>
  <c r="I2006"/>
  <c r="I1477"/>
  <c r="E1476"/>
  <c r="D1233"/>
  <c r="E1972"/>
  <c r="E1964" s="1"/>
  <c r="J1950"/>
  <c r="J530"/>
  <c r="I1239"/>
  <c r="J1851"/>
  <c r="I93"/>
  <c r="D1537"/>
  <c r="D1522" s="1"/>
  <c r="J1766"/>
  <c r="J540"/>
  <c r="I555"/>
  <c r="I2111"/>
  <c r="I543"/>
  <c r="I1401"/>
  <c r="E681"/>
  <c r="J639"/>
  <c r="D1666"/>
  <c r="D1627" s="1"/>
  <c r="J832"/>
  <c r="I1809"/>
  <c r="E643"/>
  <c r="D168"/>
  <c r="J744"/>
  <c r="I639"/>
  <c r="I1693"/>
  <c r="E1743"/>
  <c r="D2133"/>
  <c r="I1425"/>
  <c r="I1867"/>
  <c r="D1588"/>
  <c r="J454"/>
  <c r="J198"/>
  <c r="I540"/>
  <c r="I955"/>
  <c r="J1655"/>
  <c r="I586"/>
  <c r="I2043"/>
  <c r="J1859"/>
  <c r="I1860"/>
  <c r="J1951"/>
  <c r="J850"/>
  <c r="J851"/>
  <c r="J2129"/>
  <c r="J2130"/>
  <c r="J309"/>
  <c r="I309"/>
  <c r="J121"/>
  <c r="I121"/>
  <c r="I182"/>
  <c r="I183"/>
  <c r="J1557"/>
  <c r="I1557"/>
  <c r="J1570"/>
  <c r="J1147"/>
  <c r="J1148"/>
  <c r="I330"/>
  <c r="J330"/>
  <c r="J724"/>
  <c r="I724"/>
  <c r="J1089"/>
  <c r="I1089"/>
  <c r="J254"/>
  <c r="J255"/>
  <c r="I474"/>
  <c r="I475"/>
  <c r="I1636"/>
  <c r="E1635"/>
  <c r="I1635" s="1"/>
  <c r="J1552"/>
  <c r="I1552"/>
  <c r="J1506"/>
  <c r="I1506"/>
  <c r="I1039"/>
  <c r="J1039"/>
  <c r="J1638"/>
  <c r="I1638"/>
  <c r="J1049"/>
  <c r="D720"/>
  <c r="J1809"/>
  <c r="J786"/>
  <c r="E1700"/>
  <c r="E1699" s="1"/>
  <c r="J1496"/>
  <c r="D1075"/>
  <c r="D1074" s="1"/>
  <c r="J1922"/>
  <c r="E741"/>
  <c r="E1395"/>
  <c r="E1380" s="1"/>
  <c r="I1731"/>
  <c r="J1516"/>
  <c r="I2101"/>
  <c r="I1951"/>
  <c r="I596"/>
  <c r="J1835"/>
  <c r="I457"/>
  <c r="I1319"/>
  <c r="J1319"/>
  <c r="J425"/>
  <c r="J426"/>
  <c r="I485"/>
  <c r="J485"/>
  <c r="J291"/>
  <c r="J292"/>
  <c r="J862"/>
  <c r="J863"/>
  <c r="J162"/>
  <c r="I162"/>
  <c r="J1351"/>
  <c r="J1352"/>
  <c r="J462"/>
  <c r="I99"/>
  <c r="D1277"/>
  <c r="I1544"/>
  <c r="J710"/>
  <c r="I578"/>
  <c r="I1570"/>
  <c r="I657"/>
  <c r="E477"/>
  <c r="J1441"/>
  <c r="I1370"/>
  <c r="J595"/>
  <c r="J590"/>
  <c r="E2124"/>
  <c r="E2123" s="1"/>
  <c r="J610"/>
  <c r="I315"/>
  <c r="J1091"/>
  <c r="I1463"/>
  <c r="J170"/>
  <c r="J69"/>
  <c r="J146"/>
  <c r="J176"/>
  <c r="J1461"/>
  <c r="I1292"/>
  <c r="J1292"/>
  <c r="E1030"/>
  <c r="I1030" s="1"/>
  <c r="I1031"/>
  <c r="J409"/>
  <c r="J410"/>
  <c r="E611"/>
  <c r="I612"/>
  <c r="J918"/>
  <c r="J919"/>
  <c r="I264"/>
  <c r="J2028"/>
  <c r="J2029"/>
  <c r="J637"/>
  <c r="J638"/>
  <c r="J1921"/>
  <c r="J709"/>
  <c r="I2130"/>
  <c r="I1374"/>
  <c r="I818"/>
  <c r="J1810"/>
  <c r="E321"/>
  <c r="I321" s="1"/>
  <c r="I1512"/>
  <c r="J1897"/>
  <c r="I2091"/>
  <c r="J934"/>
  <c r="J282"/>
  <c r="J591"/>
  <c r="I2077"/>
  <c r="J41"/>
  <c r="J1958"/>
  <c r="I1168"/>
  <c r="J1595"/>
  <c r="I116"/>
  <c r="J1113"/>
  <c r="E439"/>
  <c r="E1858"/>
  <c r="I45"/>
  <c r="I967"/>
  <c r="J575"/>
  <c r="J1199"/>
  <c r="J428"/>
  <c r="J429"/>
  <c r="I777"/>
  <c r="J777"/>
  <c r="I1123"/>
  <c r="J1315"/>
  <c r="J1316"/>
  <c r="I800"/>
  <c r="E799"/>
  <c r="I799" s="1"/>
  <c r="J1789"/>
  <c r="J1788"/>
  <c r="J1204"/>
  <c r="J1207"/>
  <c r="J814"/>
  <c r="J815"/>
  <c r="J1236"/>
  <c r="I1236"/>
  <c r="I876"/>
  <c r="I877"/>
  <c r="J877"/>
  <c r="I432"/>
  <c r="E431"/>
  <c r="I431" s="1"/>
  <c r="J434"/>
  <c r="J437"/>
  <c r="E1763"/>
  <c r="E1756" s="1"/>
  <c r="I364"/>
  <c r="J246"/>
  <c r="I1207"/>
  <c r="I1441"/>
  <c r="J618"/>
  <c r="J515"/>
  <c r="I1169"/>
  <c r="I1810"/>
  <c r="J1076"/>
  <c r="I996"/>
  <c r="J543"/>
  <c r="I2042"/>
  <c r="I410"/>
  <c r="I563"/>
  <c r="I634"/>
  <c r="H94" i="1"/>
  <c r="H93" s="1"/>
  <c r="H58"/>
  <c r="E1049" i="2"/>
  <c r="I1049" s="1"/>
  <c r="I1028"/>
  <c r="I1259"/>
  <c r="J40"/>
  <c r="K2942" i="1"/>
  <c r="I906"/>
  <c r="K615"/>
  <c r="I233" i="2"/>
  <c r="J1451"/>
  <c r="K2129" i="1"/>
  <c r="K465"/>
  <c r="K792"/>
  <c r="K480"/>
  <c r="K2428"/>
  <c r="K2983"/>
  <c r="K1161"/>
  <c r="L1161" s="1"/>
  <c r="K1590"/>
  <c r="H936"/>
  <c r="K2693"/>
  <c r="I951" i="2"/>
  <c r="I952"/>
  <c r="K1500" i="1"/>
  <c r="K2855"/>
  <c r="K322"/>
  <c r="I382" i="2"/>
  <c r="E856"/>
  <c r="I856" s="1"/>
  <c r="I857"/>
  <c r="H960" i="1"/>
  <c r="H2834"/>
  <c r="I1559" i="2"/>
  <c r="J1559"/>
  <c r="K144" i="1"/>
  <c r="E783" i="2"/>
  <c r="I783" s="1"/>
  <c r="I784"/>
  <c r="K537" i="1"/>
  <c r="H11"/>
  <c r="L12"/>
  <c r="K755"/>
  <c r="J1566" i="2"/>
  <c r="J1567"/>
  <c r="J2049"/>
  <c r="I26"/>
  <c r="J26"/>
  <c r="I943"/>
  <c r="E942"/>
  <c r="I942" s="1"/>
  <c r="E1002"/>
  <c r="I1002" s="1"/>
  <c r="I1003"/>
  <c r="J227"/>
  <c r="I228"/>
  <c r="J228"/>
  <c r="J1214"/>
  <c r="I1214"/>
  <c r="J812"/>
  <c r="I812"/>
  <c r="J1500"/>
  <c r="I1500"/>
  <c r="K2320" i="1"/>
  <c r="E318" i="2"/>
  <c r="I318" s="1"/>
  <c r="I319"/>
  <c r="I288"/>
  <c r="J289"/>
  <c r="K2714" i="1"/>
  <c r="I1352" i="2"/>
  <c r="E1351"/>
  <c r="K2214" i="1"/>
  <c r="I936"/>
  <c r="K1571"/>
  <c r="M32"/>
  <c r="L32"/>
  <c r="K31"/>
  <c r="H1893"/>
  <c r="E454" i="2"/>
  <c r="I455"/>
  <c r="K2871" i="1"/>
  <c r="J1546" i="2"/>
  <c r="I1546"/>
  <c r="K1131" i="1"/>
  <c r="K1873"/>
  <c r="E192" i="2"/>
  <c r="I192" s="1"/>
  <c r="I193"/>
  <c r="I1070" i="1"/>
  <c r="I48"/>
  <c r="D424" i="2"/>
  <c r="D1706"/>
  <c r="J382"/>
  <c r="J1775"/>
  <c r="J1758"/>
  <c r="J445"/>
  <c r="I1191"/>
  <c r="J1746"/>
  <c r="J1942"/>
  <c r="I1201"/>
  <c r="I1464"/>
  <c r="I2151" i="1"/>
  <c r="I2143" s="1"/>
  <c r="I2142" s="1"/>
  <c r="I1042" i="2"/>
  <c r="J1708"/>
  <c r="I1708"/>
  <c r="K1195" i="1"/>
  <c r="I2135" i="2"/>
  <c r="J2136"/>
  <c r="K2757" i="1"/>
  <c r="L2757" s="1"/>
  <c r="K1037"/>
  <c r="E417" i="2"/>
  <c r="I417" s="1"/>
  <c r="I418"/>
  <c r="H2672" i="1"/>
  <c r="E40" i="2"/>
  <c r="E32" s="1"/>
  <c r="I41"/>
  <c r="K491" i="1"/>
  <c r="K2927"/>
  <c r="H630"/>
  <c r="K1191"/>
  <c r="E254" i="2"/>
  <c r="I254" s="1"/>
  <c r="I255"/>
  <c r="I124"/>
  <c r="E780"/>
  <c r="I780" s="1"/>
  <c r="I781"/>
  <c r="K2640" i="1"/>
  <c r="I437" i="2"/>
  <c r="E434"/>
  <c r="I332" i="1"/>
  <c r="J90" i="2"/>
  <c r="I90"/>
  <c r="I892"/>
  <c r="J892"/>
  <c r="K276" i="1"/>
  <c r="I1393" i="2"/>
  <c r="J1393"/>
  <c r="K750" i="1"/>
  <c r="K1053"/>
  <c r="H373"/>
  <c r="J1966" i="2"/>
  <c r="I1966"/>
  <c r="J1370"/>
  <c r="J1368"/>
  <c r="J1348"/>
  <c r="J1349"/>
  <c r="E1147"/>
  <c r="I1148"/>
  <c r="J1576"/>
  <c r="I1576"/>
  <c r="E900"/>
  <c r="I900" s="1"/>
  <c r="I901"/>
  <c r="E1297"/>
  <c r="E1278" s="1"/>
  <c r="I1298"/>
  <c r="I2014"/>
  <c r="I421"/>
  <c r="J421"/>
  <c r="H2199" i="1"/>
  <c r="K35"/>
  <c r="I2680"/>
  <c r="I2672"/>
  <c r="I2914"/>
  <c r="H1210"/>
  <c r="H1202" s="1"/>
  <c r="H1201" s="1"/>
  <c r="H1200" s="1"/>
  <c r="H426"/>
  <c r="J1563" i="2"/>
  <c r="J1564"/>
  <c r="K265" i="1"/>
  <c r="K736"/>
  <c r="K2632"/>
  <c r="L2632" s="1"/>
  <c r="H81"/>
  <c r="D299" i="2"/>
  <c r="I1963" i="1"/>
  <c r="I1962" s="1"/>
  <c r="I1961" s="1"/>
  <c r="I1890" i="2"/>
  <c r="J134"/>
  <c r="I610"/>
  <c r="I1430"/>
  <c r="E308"/>
  <c r="J1794"/>
  <c r="I1061"/>
  <c r="I1713"/>
  <c r="J1469"/>
  <c r="D32"/>
  <c r="D1873"/>
  <c r="D1829" s="1"/>
  <c r="I373"/>
  <c r="J500"/>
  <c r="J1792"/>
  <c r="I1898"/>
  <c r="I1746"/>
  <c r="J449"/>
  <c r="I246"/>
  <c r="I1866"/>
  <c r="I1202"/>
  <c r="H1635" i="1"/>
  <c r="L1635" s="1"/>
  <c r="I786" i="2"/>
  <c r="J1875"/>
  <c r="H2310" i="1"/>
  <c r="J97" i="2"/>
  <c r="I1616"/>
  <c r="H669" i="1"/>
  <c r="I752" i="2"/>
  <c r="J752"/>
  <c r="I991" i="1"/>
  <c r="E618" i="2"/>
  <c r="I618" s="1"/>
  <c r="I619"/>
  <c r="J999"/>
  <c r="I999"/>
  <c r="K2151" i="1"/>
  <c r="J23" i="2"/>
  <c r="K1532" i="1"/>
  <c r="K1174"/>
  <c r="I1472"/>
  <c r="H1519"/>
  <c r="J1990" i="2"/>
  <c r="I1983"/>
  <c r="I821"/>
  <c r="E820"/>
  <c r="I820" s="1"/>
  <c r="K688" i="1"/>
  <c r="J214" i="2"/>
  <c r="I1525" i="1"/>
  <c r="I1524" s="1"/>
  <c r="H1472"/>
  <c r="K2762"/>
  <c r="K2476"/>
  <c r="E859" i="2"/>
  <c r="I859" s="1"/>
  <c r="I860"/>
  <c r="I847"/>
  <c r="I848"/>
  <c r="I108"/>
  <c r="E107"/>
  <c r="J1176"/>
  <c r="I1176"/>
  <c r="K2237" i="1"/>
  <c r="I1728" i="2"/>
  <c r="E1727"/>
  <c r="I1727" s="1"/>
  <c r="I638"/>
  <c r="E637"/>
  <c r="J183"/>
  <c r="E112"/>
  <c r="I112" s="1"/>
  <c r="I113"/>
  <c r="K859" i="1"/>
  <c r="I254"/>
  <c r="J155" i="2"/>
  <c r="J156"/>
  <c r="H2151" i="1"/>
  <c r="H2143" s="1"/>
  <c r="H2142" s="1"/>
  <c r="K2255"/>
  <c r="I967"/>
  <c r="K1926"/>
  <c r="H297"/>
  <c r="H290" s="1"/>
  <c r="K926"/>
  <c r="H2953"/>
  <c r="H2952" s="1"/>
  <c r="H2951" s="1"/>
  <c r="H2950" s="1"/>
  <c r="K2887"/>
  <c r="E243" i="2"/>
  <c r="I243" s="1"/>
  <c r="I244"/>
  <c r="K855" i="1"/>
  <c r="L855" s="1"/>
  <c r="K698"/>
  <c r="K2441"/>
  <c r="I94"/>
  <c r="J1752" i="2"/>
  <c r="I1772"/>
  <c r="I1050"/>
  <c r="H213" i="1"/>
  <c r="J107" i="2"/>
  <c r="I1210" i="1"/>
  <c r="I1202" s="1"/>
  <c r="I1201" s="1"/>
  <c r="J1542" i="2"/>
  <c r="J868"/>
  <c r="I1067"/>
  <c r="J1667"/>
  <c r="J1786"/>
  <c r="J848"/>
  <c r="J970"/>
  <c r="J713"/>
  <c r="I23"/>
  <c r="I1469"/>
  <c r="I97"/>
  <c r="I1670"/>
  <c r="J1959"/>
  <c r="K1963" i="1"/>
  <c r="K669"/>
  <c r="K2207"/>
  <c r="K439"/>
  <c r="I1949"/>
  <c r="J2054" i="2"/>
  <c r="K1901" i="1"/>
  <c r="J957" i="2"/>
  <c r="J958"/>
  <c r="H1464" i="1"/>
  <c r="K235"/>
  <c r="J766" i="2"/>
  <c r="J767"/>
  <c r="E862"/>
  <c r="I862" s="1"/>
  <c r="I863"/>
  <c r="K2447" i="1"/>
  <c r="K2710"/>
  <c r="K921"/>
  <c r="K897"/>
  <c r="K1597"/>
  <c r="J99" i="2"/>
  <c r="J1483"/>
  <c r="J1482"/>
  <c r="K2144" i="1"/>
  <c r="E1533" i="2"/>
  <c r="I1533" s="1"/>
  <c r="I1534"/>
  <c r="K407" i="1"/>
  <c r="H2187"/>
  <c r="K1186"/>
  <c r="J732" i="2"/>
  <c r="I732"/>
  <c r="K2418" i="1"/>
  <c r="K906"/>
  <c r="J230" i="2"/>
  <c r="I230"/>
  <c r="E1892"/>
  <c r="I1892" s="1"/>
  <c r="I1893"/>
  <c r="I1945"/>
  <c r="E1944"/>
  <c r="I1944" s="1"/>
  <c r="I1447"/>
  <c r="E1446"/>
  <c r="I1446" s="1"/>
  <c r="J258"/>
  <c r="I258"/>
  <c r="J1578"/>
  <c r="J1579"/>
  <c r="I131"/>
  <c r="J132"/>
  <c r="I1168" i="1"/>
  <c r="I1816" i="2"/>
  <c r="K2453" i="1"/>
  <c r="J379" i="2"/>
  <c r="I2296" i="1"/>
  <c r="I2295" s="1"/>
  <c r="I2294" s="1"/>
  <c r="I1346" i="2"/>
  <c r="J1346"/>
  <c r="K742" i="1"/>
  <c r="K2803"/>
  <c r="K1491"/>
  <c r="I169" i="2"/>
  <c r="J169"/>
  <c r="I1854"/>
  <c r="J1854"/>
  <c r="K1945" i="1"/>
  <c r="K1203"/>
  <c r="I1110" i="2"/>
  <c r="K1740" i="1"/>
  <c r="K1930"/>
  <c r="K166"/>
  <c r="K1806"/>
  <c r="I2049" i="2"/>
  <c r="E2048"/>
  <c r="I1241" i="1"/>
  <c r="K227"/>
  <c r="K2546"/>
  <c r="H236"/>
  <c r="K1265"/>
  <c r="I1250"/>
  <c r="H1682"/>
  <c r="L1682" s="1"/>
  <c r="K2668"/>
  <c r="K2461"/>
  <c r="M9"/>
  <c r="K1256"/>
  <c r="D130" i="2"/>
  <c r="J373"/>
  <c r="I1411"/>
  <c r="I1990"/>
  <c r="J1514"/>
  <c r="J1554"/>
  <c r="E1016"/>
  <c r="I1016" s="1"/>
  <c r="J1427"/>
  <c r="I869"/>
  <c r="I1758"/>
  <c r="I1158"/>
  <c r="J712"/>
  <c r="K1070" i="1"/>
  <c r="J973"/>
  <c r="J972" s="1"/>
  <c r="I213"/>
  <c r="I419"/>
  <c r="M419" s="1"/>
  <c r="H688"/>
  <c r="K866"/>
  <c r="J233"/>
  <c r="J1303" i="2"/>
  <c r="I1303"/>
  <c r="I186"/>
  <c r="I1313"/>
  <c r="I691"/>
  <c r="J691"/>
  <c r="J1502"/>
  <c r="I1502"/>
  <c r="J1283"/>
  <c r="J2068"/>
  <c r="I2068"/>
  <c r="I624"/>
  <c r="J624"/>
  <c r="I1439"/>
  <c r="E1436"/>
  <c r="E1435" s="1"/>
  <c r="I1399"/>
  <c r="E1834"/>
  <c r="E1830" s="1"/>
  <c r="I1837"/>
  <c r="J1094"/>
  <c r="I1094"/>
  <c r="E1037"/>
  <c r="I1044"/>
  <c r="I472"/>
  <c r="E469"/>
  <c r="I469" s="1"/>
  <c r="I1134"/>
  <c r="J1935"/>
  <c r="I1935"/>
  <c r="J1104"/>
  <c r="J1491"/>
  <c r="J498"/>
  <c r="I498"/>
  <c r="J136"/>
  <c r="E841"/>
  <c r="I841" s="1"/>
  <c r="I842"/>
  <c r="I292"/>
  <c r="E291"/>
  <c r="I291" s="1"/>
  <c r="J1225"/>
  <c r="I1225"/>
  <c r="E1620"/>
  <c r="I1621"/>
  <c r="E829"/>
  <c r="I829" s="1"/>
  <c r="I830"/>
  <c r="J105"/>
  <c r="I105"/>
  <c r="J1692"/>
  <c r="J1693"/>
  <c r="J1764"/>
  <c r="I1764"/>
  <c r="J2141"/>
  <c r="J915"/>
  <c r="I915"/>
  <c r="I1686"/>
  <c r="J1686"/>
  <c r="J1071"/>
  <c r="I1071"/>
  <c r="J940"/>
  <c r="I940"/>
  <c r="I1195"/>
  <c r="J1195"/>
  <c r="J1437"/>
  <c r="I1437"/>
  <c r="J1841"/>
  <c r="J1468"/>
  <c r="J838"/>
  <c r="J839"/>
  <c r="J823"/>
  <c r="I823"/>
  <c r="I1531"/>
  <c r="E1530"/>
  <c r="J1471"/>
  <c r="I1471"/>
  <c r="J460"/>
  <c r="I460"/>
  <c r="E664"/>
  <c r="I665"/>
  <c r="J523"/>
  <c r="I566"/>
  <c r="J566"/>
  <c r="J800"/>
  <c r="J1847"/>
  <c r="I1847"/>
  <c r="I1644"/>
  <c r="E1643"/>
  <c r="E2134"/>
  <c r="I282"/>
  <c r="E281"/>
  <c r="E1261"/>
  <c r="I1261" s="1"/>
  <c r="I1262"/>
  <c r="I1079"/>
  <c r="E1076"/>
  <c r="J1142"/>
  <c r="J772"/>
  <c r="I772"/>
  <c r="I721"/>
  <c r="J1016"/>
  <c r="J1218"/>
  <c r="I1218"/>
  <c r="I462"/>
  <c r="E459"/>
  <c r="I440"/>
  <c r="J440"/>
  <c r="J907"/>
  <c r="I907"/>
  <c r="J469"/>
  <c r="J1881"/>
  <c r="I1881"/>
  <c r="E991"/>
  <c r="I992"/>
  <c r="E838"/>
  <c r="I838" s="1"/>
  <c r="I839"/>
  <c r="J904"/>
  <c r="I904"/>
  <c r="I806"/>
  <c r="E805"/>
  <c r="J276"/>
  <c r="E1204"/>
  <c r="I1205"/>
  <c r="E2146"/>
  <c r="I2147"/>
  <c r="I1242"/>
  <c r="E1241"/>
  <c r="I2018"/>
  <c r="J2018"/>
  <c r="J1652"/>
  <c r="I513"/>
  <c r="E510"/>
  <c r="I510" s="1"/>
  <c r="I141"/>
  <c r="E136"/>
  <c r="I136" s="1"/>
  <c r="I78"/>
  <c r="J78"/>
  <c r="I609"/>
  <c r="J609"/>
  <c r="J1668"/>
  <c r="E2105"/>
  <c r="E2104" s="1"/>
  <c r="D1189"/>
  <c r="D1173" s="1"/>
  <c r="D1048"/>
  <c r="D1014" s="1"/>
  <c r="D1137"/>
  <c r="I1222"/>
  <c r="J1816"/>
  <c r="E590"/>
  <c r="J1662"/>
  <c r="I1118"/>
  <c r="I919"/>
  <c r="E1151"/>
  <c r="J1087"/>
  <c r="I2099"/>
  <c r="E1584"/>
  <c r="I1584" s="1"/>
  <c r="I1585"/>
  <c r="J835"/>
  <c r="J836"/>
  <c r="I949"/>
  <c r="E948"/>
  <c r="I948" s="1"/>
  <c r="I1258"/>
  <c r="J969"/>
  <c r="I969"/>
  <c r="I336"/>
  <c r="I335"/>
  <c r="J520"/>
  <c r="E977"/>
  <c r="I977" s="1"/>
  <c r="I978"/>
  <c r="I933"/>
  <c r="J933"/>
  <c r="J612"/>
  <c r="E449"/>
  <c r="I449" s="1"/>
  <c r="I452"/>
  <c r="J2072"/>
  <c r="I553"/>
  <c r="E550"/>
  <c r="I550" s="1"/>
  <c r="I173"/>
  <c r="I1736"/>
  <c r="I1735"/>
  <c r="I796"/>
  <c r="J1700"/>
  <c r="J1355"/>
  <c r="I1355"/>
  <c r="I1604"/>
  <c r="J1604"/>
  <c r="I1629"/>
  <c r="I1229"/>
  <c r="J1229"/>
  <c r="J601"/>
  <c r="I601"/>
  <c r="J913"/>
  <c r="I913"/>
  <c r="I1785"/>
  <c r="J1785"/>
  <c r="J548"/>
  <c r="J545"/>
  <c r="I151"/>
  <c r="E146"/>
  <c r="I146" s="1"/>
  <c r="J614"/>
  <c r="I614"/>
  <c r="E1332"/>
  <c r="I1333"/>
  <c r="J400"/>
  <c r="J1916"/>
  <c r="I1916"/>
  <c r="J1593"/>
  <c r="I1593"/>
  <c r="E1563"/>
  <c r="I1564"/>
  <c r="J1947"/>
  <c r="J1948"/>
  <c r="I1468"/>
  <c r="E1467"/>
  <c r="J321"/>
  <c r="I199"/>
  <c r="I1087"/>
  <c r="J1401"/>
  <c r="J1869"/>
  <c r="I1869"/>
  <c r="I958"/>
  <c r="E957"/>
  <c r="J2024"/>
  <c r="J684"/>
  <c r="I684"/>
  <c r="I1757"/>
  <c r="I854"/>
  <c r="J854"/>
  <c r="J1295"/>
  <c r="J1294"/>
  <c r="E545"/>
  <c r="I545" s="1"/>
  <c r="I546"/>
  <c r="I275"/>
  <c r="J628"/>
  <c r="I2001"/>
  <c r="J2001"/>
  <c r="I1221"/>
  <c r="J1221"/>
  <c r="I1682"/>
  <c r="E1679"/>
  <c r="E2082"/>
  <c r="E2081" s="1"/>
  <c r="I2085"/>
  <c r="I73"/>
  <c r="J73"/>
  <c r="J716"/>
  <c r="J717"/>
  <c r="E1348"/>
  <c r="I1349"/>
  <c r="I2073"/>
  <c r="E2072"/>
  <c r="E2071" s="1"/>
  <c r="I465"/>
  <c r="E464"/>
  <c r="I464" s="1"/>
  <c r="I1142"/>
  <c r="E1139"/>
  <c r="J1711"/>
  <c r="I1711"/>
  <c r="E1651"/>
  <c r="I1652"/>
  <c r="J1944"/>
  <c r="I390"/>
  <c r="E1485"/>
  <c r="I1485" s="1"/>
  <c r="I1486"/>
  <c r="J1904"/>
  <c r="J85"/>
  <c r="J510"/>
  <c r="I1821"/>
  <c r="E1820"/>
  <c r="E1819" s="1"/>
  <c r="J1780"/>
  <c r="I1780"/>
  <c r="E1125"/>
  <c r="I1126"/>
  <c r="I1925"/>
  <c r="E1924"/>
  <c r="I713"/>
  <c r="E712"/>
  <c r="J817"/>
  <c r="I817"/>
  <c r="I571"/>
  <c r="E570"/>
  <c r="I570" s="1"/>
  <c r="I1752"/>
  <c r="E1751"/>
  <c r="I1751" s="1"/>
  <c r="J1724"/>
  <c r="I1724"/>
  <c r="J1620"/>
  <c r="J1364"/>
  <c r="I1364"/>
  <c r="I974"/>
  <c r="I493"/>
  <c r="E492"/>
  <c r="I1117"/>
  <c r="J1331"/>
  <c r="E1667"/>
  <c r="E1801"/>
  <c r="I341"/>
  <c r="J341"/>
  <c r="J1912"/>
  <c r="E850"/>
  <c r="I850" s="1"/>
  <c r="I851"/>
  <c r="J662"/>
  <c r="I1919"/>
  <c r="J1919"/>
  <c r="I495"/>
  <c r="J495"/>
  <c r="E425"/>
  <c r="I426"/>
  <c r="J1324"/>
  <c r="J1325"/>
  <c r="I2054"/>
  <c r="E2053"/>
  <c r="J803"/>
  <c r="J802"/>
  <c r="J1548"/>
  <c r="I533"/>
  <c r="E530"/>
  <c r="J1806"/>
  <c r="I1806"/>
  <c r="J2035"/>
  <c r="J1689"/>
  <c r="J1690"/>
  <c r="J1907"/>
  <c r="I1907"/>
  <c r="J2064"/>
  <c r="I2064"/>
  <c r="J1108"/>
  <c r="J372"/>
  <c r="I372"/>
  <c r="I1761"/>
  <c r="I1479"/>
  <c r="E2034"/>
  <c r="I2035"/>
  <c r="I1598"/>
  <c r="E1589"/>
  <c r="E693"/>
  <c r="J1510"/>
  <c r="I1510"/>
  <c r="I516"/>
  <c r="E515"/>
  <c r="I581"/>
  <c r="J581"/>
  <c r="I1684"/>
  <c r="J1684"/>
  <c r="J657"/>
  <c r="J478"/>
  <c r="I478"/>
  <c r="J1956"/>
  <c r="I1956"/>
  <c r="J1733"/>
  <c r="I1733"/>
  <c r="J353"/>
  <c r="I353"/>
  <c r="I526"/>
  <c r="E525"/>
  <c r="I525" s="1"/>
  <c r="I1108"/>
  <c r="E1107"/>
  <c r="I922"/>
  <c r="J922"/>
  <c r="I1455"/>
  <c r="E1454"/>
  <c r="J1720"/>
  <c r="I1720"/>
  <c r="J1969"/>
  <c r="I1969"/>
  <c r="J444"/>
  <c r="J1413"/>
  <c r="E716"/>
  <c r="I716" s="1"/>
  <c r="I717"/>
  <c r="I2141"/>
  <c r="E2140"/>
  <c r="E1249"/>
  <c r="I74"/>
  <c r="E393" l="1"/>
  <c r="E389" s="1"/>
  <c r="K70" i="1"/>
  <c r="M70" s="1"/>
  <c r="H1689"/>
  <c r="L1689" s="1"/>
  <c r="E1419" i="2"/>
  <c r="K2573" i="1"/>
  <c r="M2573" s="1"/>
  <c r="H439"/>
  <c r="H406" s="1"/>
  <c r="H405" s="1"/>
  <c r="L2429"/>
  <c r="L2819"/>
  <c r="F9" i="2"/>
  <c r="I1608"/>
  <c r="G9"/>
  <c r="L560" i="1"/>
  <c r="M560"/>
  <c r="M364"/>
  <c r="L364"/>
  <c r="L2623"/>
  <c r="M2623"/>
  <c r="L1020"/>
  <c r="M1020"/>
  <c r="L1935"/>
  <c r="M1935"/>
  <c r="L291"/>
  <c r="M291"/>
  <c r="M395"/>
  <c r="L395"/>
  <c r="L943"/>
  <c r="M943"/>
  <c r="K81"/>
  <c r="L82"/>
  <c r="K1580"/>
  <c r="L1581"/>
  <c r="M1581"/>
  <c r="M382"/>
  <c r="L260"/>
  <c r="K259"/>
  <c r="L259" s="1"/>
  <c r="M2972"/>
  <c r="L2972"/>
  <c r="M2329"/>
  <c r="L2329"/>
  <c r="M2255"/>
  <c r="L265"/>
  <c r="M265"/>
  <c r="L35"/>
  <c r="M35"/>
  <c r="L276"/>
  <c r="M276"/>
  <c r="M2640"/>
  <c r="L2640"/>
  <c r="M1037"/>
  <c r="L1037"/>
  <c r="M1873"/>
  <c r="L1873"/>
  <c r="L2714"/>
  <c r="M2714"/>
  <c r="M755"/>
  <c r="L755"/>
  <c r="L2855"/>
  <c r="M2855"/>
  <c r="L2983"/>
  <c r="M2983"/>
  <c r="L615"/>
  <c r="M615"/>
  <c r="L1479"/>
  <c r="M1479"/>
  <c r="L2562"/>
  <c r="M2562"/>
  <c r="M2513"/>
  <c r="L2513"/>
  <c r="L2954"/>
  <c r="M2954"/>
  <c r="L1552"/>
  <c r="M1552"/>
  <c r="M2830"/>
  <c r="L2830"/>
  <c r="L1604"/>
  <c r="M1604"/>
  <c r="M2781"/>
  <c r="L2781"/>
  <c r="H1652"/>
  <c r="L1652" s="1"/>
  <c r="L1653"/>
  <c r="M2477"/>
  <c r="L2477"/>
  <c r="M2310"/>
  <c r="L2310"/>
  <c r="L2530"/>
  <c r="M2530"/>
  <c r="L1506"/>
  <c r="M1506"/>
  <c r="K1519"/>
  <c r="M1520"/>
  <c r="L1520"/>
  <c r="M2935"/>
  <c r="L2935"/>
  <c r="L732"/>
  <c r="M732"/>
  <c r="K731"/>
  <c r="K1730"/>
  <c r="M1731"/>
  <c r="L1731"/>
  <c r="M1070"/>
  <c r="L2668"/>
  <c r="M2668"/>
  <c r="M1945"/>
  <c r="L1945"/>
  <c r="M1901"/>
  <c r="L2762"/>
  <c r="M2762"/>
  <c r="L1191"/>
  <c r="M1191"/>
  <c r="L586"/>
  <c r="M586"/>
  <c r="L2835"/>
  <c r="M2835"/>
  <c r="L2136"/>
  <c r="M2136"/>
  <c r="L555"/>
  <c r="M555"/>
  <c r="K40"/>
  <c r="M48"/>
  <c r="L2348"/>
  <c r="M2348"/>
  <c r="M999"/>
  <c r="L999"/>
  <c r="M197"/>
  <c r="L197"/>
  <c r="M190"/>
  <c r="L190"/>
  <c r="L1088"/>
  <c r="M1088"/>
  <c r="M2274"/>
  <c r="L2274"/>
  <c r="L236"/>
  <c r="M236"/>
  <c r="M1949"/>
  <c r="L1949"/>
  <c r="K1610"/>
  <c r="L1611"/>
  <c r="M1611"/>
  <c r="M2509"/>
  <c r="L2509"/>
  <c r="M756"/>
  <c r="L756"/>
  <c r="M991"/>
  <c r="L991"/>
  <c r="M777"/>
  <c r="L777"/>
  <c r="M240"/>
  <c r="G2481"/>
  <c r="L2915"/>
  <c r="L365"/>
  <c r="K2971"/>
  <c r="K1505"/>
  <c r="K381"/>
  <c r="I1634"/>
  <c r="L2275"/>
  <c r="M71"/>
  <c r="L1186"/>
  <c r="M1186"/>
  <c r="L1203"/>
  <c r="M1203"/>
  <c r="L2144"/>
  <c r="M2144"/>
  <c r="L1926"/>
  <c r="M1926"/>
  <c r="L322"/>
  <c r="M322"/>
  <c r="M2604"/>
  <c r="L2604"/>
  <c r="K776"/>
  <c r="M787"/>
  <c r="L787"/>
  <c r="M297"/>
  <c r="L297"/>
  <c r="K498"/>
  <c r="L504"/>
  <c r="M504"/>
  <c r="K2746"/>
  <c r="L2746" s="1"/>
  <c r="L2747"/>
  <c r="L566"/>
  <c r="M566"/>
  <c r="K102"/>
  <c r="L103"/>
  <c r="M103"/>
  <c r="L227"/>
  <c r="M227"/>
  <c r="M2803"/>
  <c r="L2803"/>
  <c r="M698"/>
  <c r="L698"/>
  <c r="M750"/>
  <c r="L750"/>
  <c r="L2320"/>
  <c r="M2320"/>
  <c r="L156"/>
  <c r="M156"/>
  <c r="L968"/>
  <c r="M968"/>
  <c r="L180"/>
  <c r="M180"/>
  <c r="L1862"/>
  <c r="M1862"/>
  <c r="M995"/>
  <c r="L995"/>
  <c r="L1526"/>
  <c r="M1526"/>
  <c r="K1525"/>
  <c r="K1524" s="1"/>
  <c r="L2839"/>
  <c r="M2839"/>
  <c r="L2238"/>
  <c r="M2238"/>
  <c r="L2818"/>
  <c r="M2818"/>
  <c r="L2546"/>
  <c r="M2546"/>
  <c r="L921"/>
  <c r="M921"/>
  <c r="L669"/>
  <c r="M669"/>
  <c r="L1532"/>
  <c r="M1532"/>
  <c r="M1053"/>
  <c r="L1053"/>
  <c r="M1195"/>
  <c r="L1195"/>
  <c r="M2871"/>
  <c r="L2871"/>
  <c r="L2693"/>
  <c r="M2693"/>
  <c r="M465"/>
  <c r="L465"/>
  <c r="M2730"/>
  <c r="L2730"/>
  <c r="K2295"/>
  <c r="L2296"/>
  <c r="M2296"/>
  <c r="M2914"/>
  <c r="L2914"/>
  <c r="L2958"/>
  <c r="M2958"/>
  <c r="L821"/>
  <c r="M821"/>
  <c r="M770"/>
  <c r="L770"/>
  <c r="L114"/>
  <c r="M114"/>
  <c r="M637"/>
  <c r="L637"/>
  <c r="L1472"/>
  <c r="M1472"/>
  <c r="K93"/>
  <c r="L94"/>
  <c r="M94"/>
  <c r="K2123"/>
  <c r="L2123" s="1"/>
  <c r="L2124"/>
  <c r="L2680"/>
  <c r="M2680"/>
  <c r="M277"/>
  <c r="L277"/>
  <c r="M608"/>
  <c r="L608"/>
  <c r="M2521"/>
  <c r="L2521"/>
  <c r="E1554" i="2"/>
  <c r="I1554" s="1"/>
  <c r="L440" i="1"/>
  <c r="L655"/>
  <c r="L2554"/>
  <c r="L2573"/>
  <c r="M2428"/>
  <c r="L2428"/>
  <c r="L2844"/>
  <c r="M2844"/>
  <c r="K204"/>
  <c r="L205"/>
  <c r="M205"/>
  <c r="M2461"/>
  <c r="L2461"/>
  <c r="L742"/>
  <c r="M742"/>
  <c r="M2418"/>
  <c r="L2418"/>
  <c r="L2476"/>
  <c r="M2476"/>
  <c r="L736"/>
  <c r="M736"/>
  <c r="L144"/>
  <c r="M144"/>
  <c r="M2850"/>
  <c r="L2850"/>
  <c r="L1168"/>
  <c r="M1168"/>
  <c r="M2218"/>
  <c r="L2218"/>
  <c r="L1764"/>
  <c r="M1764"/>
  <c r="K623"/>
  <c r="L624"/>
  <c r="M624"/>
  <c r="L2483"/>
  <c r="M2483"/>
  <c r="K2482"/>
  <c r="L2706"/>
  <c r="M2706"/>
  <c r="M647"/>
  <c r="L647"/>
  <c r="L1064"/>
  <c r="M1064"/>
  <c r="M1963"/>
  <c r="M859"/>
  <c r="L859"/>
  <c r="M2493"/>
  <c r="L2493"/>
  <c r="L607"/>
  <c r="M607"/>
  <c r="M631"/>
  <c r="L631"/>
  <c r="L332"/>
  <c r="M332"/>
  <c r="L1819"/>
  <c r="M1819"/>
  <c r="L2199"/>
  <c r="M2199"/>
  <c r="L654"/>
  <c r="M654"/>
  <c r="L1044"/>
  <c r="M1044"/>
  <c r="L2230"/>
  <c r="M2230"/>
  <c r="L1256"/>
  <c r="M1256"/>
  <c r="M1740"/>
  <c r="L1740"/>
  <c r="M235"/>
  <c r="L688"/>
  <c r="M688"/>
  <c r="L1571"/>
  <c r="M1571"/>
  <c r="L537"/>
  <c r="M537"/>
  <c r="L792"/>
  <c r="M792"/>
  <c r="M1893"/>
  <c r="L1893"/>
  <c r="L522"/>
  <c r="M522"/>
  <c r="L1178"/>
  <c r="M1178"/>
  <c r="L1060"/>
  <c r="M1060"/>
  <c r="M1210"/>
  <c r="L1210"/>
  <c r="L2367"/>
  <c r="M2367"/>
  <c r="H1706"/>
  <c r="L1706" s="1"/>
  <c r="L1707"/>
  <c r="L1464"/>
  <c r="M1464"/>
  <c r="L140"/>
  <c r="M140"/>
  <c r="I1006" i="2"/>
  <c r="J1006"/>
  <c r="L2539" i="1"/>
  <c r="M2539"/>
  <c r="K2653"/>
  <c r="M2654"/>
  <c r="L1012"/>
  <c r="M1012"/>
  <c r="K936"/>
  <c r="M937"/>
  <c r="L937"/>
  <c r="L2187"/>
  <c r="M2187"/>
  <c r="K1250"/>
  <c r="M1251"/>
  <c r="L1251"/>
  <c r="K1810"/>
  <c r="L1811"/>
  <c r="L1182"/>
  <c r="M1182"/>
  <c r="M2505"/>
  <c r="L2505"/>
  <c r="K394"/>
  <c r="L2681"/>
  <c r="L1027"/>
  <c r="M1572"/>
  <c r="L1806"/>
  <c r="M1806"/>
  <c r="M2887"/>
  <c r="L2887"/>
  <c r="M2927"/>
  <c r="L2927"/>
  <c r="M1131"/>
  <c r="M1500"/>
  <c r="L1500"/>
  <c r="L470"/>
  <c r="M470"/>
  <c r="L2447"/>
  <c r="M2447"/>
  <c r="L2151"/>
  <c r="M2151"/>
  <c r="L1590"/>
  <c r="M1590"/>
  <c r="L576"/>
  <c r="M576"/>
  <c r="L1830"/>
  <c r="M1830"/>
  <c r="K2404"/>
  <c r="K2403" s="1"/>
  <c r="L2405"/>
  <c r="M2405"/>
  <c r="K499"/>
  <c r="M500"/>
  <c r="L500"/>
  <c r="K1242"/>
  <c r="L1243"/>
  <c r="M1243"/>
  <c r="K2487"/>
  <c r="L2488"/>
  <c r="M2488"/>
  <c r="M2117"/>
  <c r="L2117"/>
  <c r="L906"/>
  <c r="M906"/>
  <c r="L2710"/>
  <c r="M2710"/>
  <c r="M2237"/>
  <c r="L2237"/>
  <c r="M2214"/>
  <c r="L2214"/>
  <c r="M2129"/>
  <c r="L2129"/>
  <c r="L545"/>
  <c r="M545"/>
  <c r="L1436"/>
  <c r="M1436"/>
  <c r="L1560"/>
  <c r="M1560"/>
  <c r="L2339"/>
  <c r="M2339"/>
  <c r="L2592"/>
  <c r="M2592"/>
  <c r="L254"/>
  <c r="M254"/>
  <c r="L2219"/>
  <c r="M2219"/>
  <c r="M1491"/>
  <c r="L1491"/>
  <c r="L1930"/>
  <c r="M1930"/>
  <c r="M2453"/>
  <c r="L2453"/>
  <c r="L407"/>
  <c r="M407"/>
  <c r="M897"/>
  <c r="L897"/>
  <c r="M2207"/>
  <c r="L2207"/>
  <c r="M2441"/>
  <c r="L2441"/>
  <c r="M926"/>
  <c r="L926"/>
  <c r="M866"/>
  <c r="M1265"/>
  <c r="L1265"/>
  <c r="M166"/>
  <c r="L166"/>
  <c r="L1597"/>
  <c r="M1597"/>
  <c r="L439"/>
  <c r="M439"/>
  <c r="L1174"/>
  <c r="M1174"/>
  <c r="L491"/>
  <c r="M491"/>
  <c r="M480"/>
  <c r="L480"/>
  <c r="M2942"/>
  <c r="L2942"/>
  <c r="K212"/>
  <c r="M213"/>
  <c r="L213"/>
  <c r="L891"/>
  <c r="M891"/>
  <c r="M2286"/>
  <c r="L2286"/>
  <c r="K126"/>
  <c r="L127"/>
  <c r="M127"/>
  <c r="L360"/>
  <c r="M360"/>
  <c r="L2397"/>
  <c r="M2397"/>
  <c r="L960"/>
  <c r="M960"/>
  <c r="H1623"/>
  <c r="L1623" s="1"/>
  <c r="L1624"/>
  <c r="M1449"/>
  <c r="L373"/>
  <c r="M373"/>
  <c r="L426"/>
  <c r="M426"/>
  <c r="L89"/>
  <c r="M89"/>
  <c r="L510"/>
  <c r="M510"/>
  <c r="K509"/>
  <c r="M121"/>
  <c r="L121"/>
  <c r="L2672"/>
  <c r="M2672"/>
  <c r="L1755"/>
  <c r="M1755"/>
  <c r="L1123"/>
  <c r="M1123"/>
  <c r="K2817"/>
  <c r="K2328"/>
  <c r="K2327" s="1"/>
  <c r="K1043"/>
  <c r="L837"/>
  <c r="H1074" i="2"/>
  <c r="L2297" i="1"/>
  <c r="K2584"/>
  <c r="L2584" s="1"/>
  <c r="L2585"/>
  <c r="I2584"/>
  <c r="M2584" s="1"/>
  <c r="M2585"/>
  <c r="L2352"/>
  <c r="M2352"/>
  <c r="M974"/>
  <c r="H803"/>
  <c r="L804"/>
  <c r="J1588"/>
  <c r="J1569" s="1"/>
  <c r="J1487" s="1"/>
  <c r="K372"/>
  <c r="I1904" i="2"/>
  <c r="G2438" i="1"/>
  <c r="G2437" s="1"/>
  <c r="H1627" i="2"/>
  <c r="H794"/>
  <c r="J1257"/>
  <c r="H1233"/>
  <c r="J1658"/>
  <c r="L20" i="1"/>
  <c r="K19"/>
  <c r="K1829"/>
  <c r="K1818"/>
  <c r="K1817" s="1"/>
  <c r="K1471"/>
  <c r="H1830"/>
  <c r="J636"/>
  <c r="J635" s="1"/>
  <c r="J519" s="1"/>
  <c r="J496" s="1"/>
  <c r="G801"/>
  <c r="G747" s="1"/>
  <c r="J2346"/>
  <c r="J2345" s="1"/>
  <c r="J2325" s="1"/>
  <c r="H2654"/>
  <c r="L2654" s="1"/>
  <c r="I1831" i="2"/>
  <c r="I523"/>
  <c r="G1069" i="1"/>
  <c r="G1068" s="1"/>
  <c r="G966" s="1"/>
  <c r="G933" s="1"/>
  <c r="G2727"/>
  <c r="K189"/>
  <c r="H382"/>
  <c r="H381" s="1"/>
  <c r="H2346"/>
  <c r="H2345" s="1"/>
  <c r="H2325" s="1"/>
  <c r="K1754"/>
  <c r="I801"/>
  <c r="I747" s="1"/>
  <c r="H866"/>
  <c r="H865" s="1"/>
  <c r="H1131"/>
  <c r="L1131" s="1"/>
  <c r="K603"/>
  <c r="J2727"/>
  <c r="H1901"/>
  <c r="H1900" s="1"/>
  <c r="H1899" s="1"/>
  <c r="G378"/>
  <c r="G1621"/>
  <c r="G1609" s="1"/>
  <c r="I2254"/>
  <c r="I2253" s="1"/>
  <c r="I2252" s="1"/>
  <c r="I2251" s="1"/>
  <c r="K2366"/>
  <c r="G8"/>
  <c r="J1621"/>
  <c r="J1609" s="1"/>
  <c r="G1487"/>
  <c r="J378"/>
  <c r="I636"/>
  <c r="I635" s="1"/>
  <c r="I519" s="1"/>
  <c r="J2481"/>
  <c r="J2438" s="1"/>
  <c r="J2437" s="1"/>
  <c r="J1279" i="2"/>
  <c r="I1279"/>
  <c r="I1104"/>
  <c r="I2346" i="1"/>
  <c r="I2345" s="1"/>
  <c r="I2325" s="1"/>
  <c r="K113"/>
  <c r="K290"/>
  <c r="J1890"/>
  <c r="J1802" s="1"/>
  <c r="H2255"/>
  <c r="H2254" s="1"/>
  <c r="H2253" s="1"/>
  <c r="J801"/>
  <c r="J747" s="1"/>
  <c r="I1667"/>
  <c r="H564"/>
  <c r="I1899"/>
  <c r="I1890" s="1"/>
  <c r="I1829"/>
  <c r="J2252"/>
  <c r="J2251" s="1"/>
  <c r="J1069"/>
  <c r="J1068" s="1"/>
  <c r="J966" s="1"/>
  <c r="J933" s="1"/>
  <c r="K973"/>
  <c r="H1449"/>
  <c r="L1449" s="1"/>
  <c r="H275"/>
  <c r="E1058" i="2"/>
  <c r="E1048" s="1"/>
  <c r="I406" i="1"/>
  <c r="I405" s="1"/>
  <c r="I379" s="1"/>
  <c r="I378" s="1"/>
  <c r="K2780"/>
  <c r="H1963"/>
  <c r="H1962" s="1"/>
  <c r="H1961" s="1"/>
  <c r="K521"/>
  <c r="H698"/>
  <c r="H636" s="1"/>
  <c r="H635" s="1"/>
  <c r="K1551"/>
  <c r="K359"/>
  <c r="G519"/>
  <c r="G496" s="1"/>
  <c r="K1019"/>
  <c r="K2338"/>
  <c r="I2591"/>
  <c r="E1084" i="2"/>
  <c r="I1084" s="1"/>
  <c r="I1381"/>
  <c r="I176"/>
  <c r="K2751" i="1"/>
  <c r="K630"/>
  <c r="J886"/>
  <c r="J885" s="1"/>
  <c r="J884" s="1"/>
  <c r="K1559"/>
  <c r="I102"/>
  <c r="I101" s="1"/>
  <c r="J274"/>
  <c r="J224" s="1"/>
  <c r="K1167"/>
  <c r="K2622"/>
  <c r="H1810"/>
  <c r="K959"/>
  <c r="H1058"/>
  <c r="K2591"/>
  <c r="G1890"/>
  <c r="G1802" s="1"/>
  <c r="J8"/>
  <c r="K769"/>
  <c r="H2482"/>
  <c r="I896"/>
  <c r="I499"/>
  <c r="I498" s="1"/>
  <c r="G274"/>
  <c r="G224" s="1"/>
  <c r="E2150" i="2"/>
  <c r="I2150" s="1"/>
  <c r="I203"/>
  <c r="E202"/>
  <c r="E274"/>
  <c r="H1070" i="1"/>
  <c r="L1070" s="1"/>
  <c r="I281" i="2"/>
  <c r="H972" i="1"/>
  <c r="H885"/>
  <c r="H884" s="1"/>
  <c r="E757" i="2"/>
  <c r="E720" s="1"/>
  <c r="I1743"/>
  <c r="K2953" i="1"/>
  <c r="H2621"/>
  <c r="H1250"/>
  <c r="H1477"/>
  <c r="K1892"/>
  <c r="H70"/>
  <c r="L70" s="1"/>
  <c r="I2829"/>
  <c r="I2828" s="1"/>
  <c r="I2827" s="1"/>
  <c r="K2793"/>
  <c r="L2793" s="1"/>
  <c r="K2347"/>
  <c r="I233"/>
  <c r="I1058"/>
  <c r="E1450" i="2"/>
  <c r="I1451"/>
  <c r="H1754" i="1"/>
  <c r="H1753" s="1"/>
  <c r="H1752" s="1"/>
  <c r="H1736" s="1"/>
  <c r="K2849"/>
  <c r="K2772"/>
  <c r="L2772" s="1"/>
  <c r="K2729"/>
  <c r="I2492"/>
  <c r="K1478"/>
  <c r="I1580"/>
  <c r="K544"/>
  <c r="K2913"/>
  <c r="K2492"/>
  <c r="K2834"/>
  <c r="K1059"/>
  <c r="K155"/>
  <c r="I2653"/>
  <c r="K559"/>
  <c r="K967"/>
  <c r="I1069"/>
  <c r="I56" i="2"/>
  <c r="I57"/>
  <c r="H622" i="1"/>
  <c r="J22" i="2"/>
  <c r="I699"/>
  <c r="E672"/>
  <c r="I107"/>
  <c r="E103"/>
  <c r="J124"/>
  <c r="J1589"/>
  <c r="J1742"/>
  <c r="E1840"/>
  <c r="I1395"/>
  <c r="J2082"/>
  <c r="J1802"/>
  <c r="E1490"/>
  <c r="E1489" s="1"/>
  <c r="I238"/>
  <c r="I1782"/>
  <c r="J1632"/>
  <c r="I2097"/>
  <c r="I454"/>
  <c r="I1174"/>
  <c r="I530"/>
  <c r="J1834"/>
  <c r="J1628"/>
  <c r="J1213"/>
  <c r="I585"/>
  <c r="I1427"/>
  <c r="I1213"/>
  <c r="I1476"/>
  <c r="J1359"/>
  <c r="E642"/>
  <c r="J1185"/>
  <c r="I1859"/>
  <c r="I1939"/>
  <c r="J263"/>
  <c r="J1997"/>
  <c r="J1608"/>
  <c r="I1359"/>
  <c r="J238"/>
  <c r="I560"/>
  <c r="I643"/>
  <c r="I1408"/>
  <c r="J1820"/>
  <c r="I198"/>
  <c r="J1139"/>
  <c r="D2009"/>
  <c r="I1204"/>
  <c r="I1590"/>
  <c r="J1523"/>
  <c r="J741"/>
  <c r="I832"/>
  <c r="I414"/>
  <c r="J1175"/>
  <c r="H498" i="1"/>
  <c r="H321"/>
  <c r="H320" s="1"/>
  <c r="E1541" i="2"/>
  <c r="I1541" s="1"/>
  <c r="H240" i="1"/>
  <c r="L240" s="1"/>
  <c r="J2105" i="2"/>
  <c r="H154" i="1"/>
  <c r="H125"/>
  <c r="J2104" i="2"/>
  <c r="J1151"/>
  <c r="I505"/>
  <c r="J474"/>
  <c r="J1245"/>
  <c r="J1619"/>
  <c r="I2105"/>
  <c r="I1297"/>
  <c r="J1084"/>
  <c r="I1175"/>
  <c r="I709"/>
  <c r="J1939"/>
  <c r="I22"/>
  <c r="I741"/>
  <c r="J1138"/>
  <c r="E1706"/>
  <c r="J651"/>
  <c r="I1883"/>
  <c r="J2092"/>
  <c r="I590"/>
  <c r="I1972"/>
  <c r="I515"/>
  <c r="I1419"/>
  <c r="I1788"/>
  <c r="I409"/>
  <c r="I927"/>
  <c r="I651"/>
  <c r="J876"/>
  <c r="D11"/>
  <c r="J308"/>
  <c r="I814"/>
  <c r="J32"/>
  <c r="I2098"/>
  <c r="E1938"/>
  <c r="E1930" s="1"/>
  <c r="E1928" s="1"/>
  <c r="J44"/>
  <c r="I1858"/>
  <c r="I1851"/>
  <c r="D167"/>
  <c r="I1147"/>
  <c r="J667"/>
  <c r="E2004"/>
  <c r="I2004" s="1"/>
  <c r="I2005"/>
  <c r="J1850"/>
  <c r="E987"/>
  <c r="I987" s="1"/>
  <c r="D388"/>
  <c r="J1983"/>
  <c r="I2123"/>
  <c r="J1475"/>
  <c r="I637"/>
  <c r="I308"/>
  <c r="I575"/>
  <c r="I2124"/>
  <c r="J2091"/>
  <c r="I1151"/>
  <c r="J1420"/>
  <c r="J1058"/>
  <c r="I2129"/>
  <c r="I957"/>
  <c r="E617"/>
  <c r="I83"/>
  <c r="I482"/>
  <c r="J482"/>
  <c r="J161"/>
  <c r="I161"/>
  <c r="I329"/>
  <c r="J329"/>
  <c r="J1235"/>
  <c r="I1235"/>
  <c r="I175"/>
  <c r="J175"/>
  <c r="J1038"/>
  <c r="I1038"/>
  <c r="I1921"/>
  <c r="I868"/>
  <c r="I2082"/>
  <c r="I595"/>
  <c r="J393"/>
  <c r="I918"/>
  <c r="E1475"/>
  <c r="I1369"/>
  <c r="I428"/>
  <c r="I1122"/>
  <c r="J1454"/>
  <c r="J1460"/>
  <c r="J1318"/>
  <c r="I1318"/>
  <c r="I1551"/>
  <c r="J1551"/>
  <c r="J1569"/>
  <c r="I1569"/>
  <c r="J131"/>
  <c r="J1541"/>
  <c r="I1482"/>
  <c r="I434"/>
  <c r="I1351"/>
  <c r="I1291"/>
  <c r="J1291"/>
  <c r="E973"/>
  <c r="I973" s="1"/>
  <c r="E1628"/>
  <c r="I1700"/>
  <c r="E1257"/>
  <c r="I1257" s="1"/>
  <c r="I44"/>
  <c r="H48" i="1"/>
  <c r="L48" s="1"/>
  <c r="L19"/>
  <c r="I212"/>
  <c r="K1805"/>
  <c r="K2802"/>
  <c r="K1042"/>
  <c r="K636"/>
  <c r="K2761"/>
  <c r="I1471"/>
  <c r="I1615" i="2"/>
  <c r="J1615"/>
  <c r="K264" i="1"/>
  <c r="I2913"/>
  <c r="K2572"/>
  <c r="K2756"/>
  <c r="L2756" s="1"/>
  <c r="I1707" i="2"/>
  <c r="J1707"/>
  <c r="K469" i="1"/>
  <c r="K2705"/>
  <c r="K565"/>
  <c r="K925"/>
  <c r="J182" i="2"/>
  <c r="H1471" i="1"/>
  <c r="I751" i="2"/>
  <c r="J751"/>
  <c r="J1392"/>
  <c r="I1392"/>
  <c r="K2294" i="1"/>
  <c r="H1892"/>
  <c r="K2319"/>
  <c r="K321"/>
  <c r="K464"/>
  <c r="K1202"/>
  <c r="J1345" i="2"/>
  <c r="I1345"/>
  <c r="J378"/>
  <c r="J359"/>
  <c r="K406" i="1"/>
  <c r="K2254"/>
  <c r="H1488"/>
  <c r="H1487" s="1"/>
  <c r="K1052"/>
  <c r="K2639"/>
  <c r="I40" i="2"/>
  <c r="I32"/>
  <c r="K2870" i="1"/>
  <c r="K1570"/>
  <c r="H959"/>
  <c r="K1499"/>
  <c r="H935"/>
  <c r="J1450" i="2"/>
  <c r="K803" i="1"/>
  <c r="E1015" i="2"/>
  <c r="J1607"/>
  <c r="J847"/>
  <c r="E1189"/>
  <c r="E1173" s="1"/>
  <c r="J991"/>
  <c r="I1200" i="1"/>
  <c r="I1249"/>
  <c r="K226"/>
  <c r="I1167"/>
  <c r="I2012" i="2"/>
  <c r="I2013"/>
  <c r="J891"/>
  <c r="I891"/>
  <c r="J811"/>
  <c r="I811"/>
  <c r="K2854" i="1"/>
  <c r="J257" i="2"/>
  <c r="I257"/>
  <c r="K1264" i="1"/>
  <c r="K1490"/>
  <c r="I1815" i="2"/>
  <c r="J1815"/>
  <c r="K896" i="1"/>
  <c r="K2440"/>
  <c r="J213" i="2"/>
  <c r="H80" i="1"/>
  <c r="K2631"/>
  <c r="L2631" s="1"/>
  <c r="I1575" i="2"/>
  <c r="J1575"/>
  <c r="K749" i="1"/>
  <c r="J2135" i="2"/>
  <c r="K1872" i="1"/>
  <c r="E168" i="2"/>
  <c r="J233"/>
  <c r="I125" i="1"/>
  <c r="I111" s="1"/>
  <c r="K2926"/>
  <c r="I1041" i="2"/>
  <c r="K2427" i="1"/>
  <c r="K865"/>
  <c r="I2048" i="2"/>
  <c r="E2047"/>
  <c r="I2047" s="1"/>
  <c r="K1962" i="1"/>
  <c r="H2728"/>
  <c r="H2294"/>
  <c r="K1589"/>
  <c r="K2982"/>
  <c r="K791"/>
  <c r="K1255"/>
  <c r="K2143"/>
  <c r="K2446"/>
  <c r="K1900"/>
  <c r="I93"/>
  <c r="K2886"/>
  <c r="K2236"/>
  <c r="I973"/>
  <c r="J96" i="2"/>
  <c r="I96"/>
  <c r="K2970" i="1"/>
  <c r="I2667"/>
  <c r="I2666" s="1"/>
  <c r="I2665" s="1"/>
  <c r="I2664" s="1"/>
  <c r="J1965" i="2"/>
  <c r="I1965"/>
  <c r="I321" i="1"/>
  <c r="I320" s="1"/>
  <c r="I274" s="1"/>
  <c r="K30"/>
  <c r="L31"/>
  <c r="M31"/>
  <c r="I935"/>
  <c r="I227" i="2"/>
  <c r="H2829" i="1"/>
  <c r="K2128"/>
  <c r="E1873" i="2"/>
  <c r="J2013"/>
  <c r="J1972"/>
  <c r="I1107"/>
  <c r="J1369"/>
  <c r="K2186" i="1"/>
  <c r="H212"/>
  <c r="J2048" i="2"/>
  <c r="K1069" i="1"/>
  <c r="K920"/>
  <c r="J2052" i="2"/>
  <c r="J2053"/>
  <c r="J420"/>
  <c r="I420"/>
  <c r="H372" i="1"/>
  <c r="H629"/>
  <c r="H2667"/>
  <c r="H2666" s="1"/>
  <c r="H2665" s="1"/>
  <c r="H2664" s="1"/>
  <c r="H10"/>
  <c r="L11"/>
  <c r="I381" i="2"/>
  <c r="J381"/>
  <c r="K2692" i="1"/>
  <c r="K2460"/>
  <c r="K2667"/>
  <c r="K165"/>
  <c r="K1739"/>
  <c r="H2911"/>
  <c r="H2186"/>
  <c r="H2185" s="1"/>
  <c r="K234"/>
  <c r="I2727"/>
  <c r="I1488"/>
  <c r="K1173"/>
  <c r="I40"/>
  <c r="K2520"/>
  <c r="J288" i="2"/>
  <c r="J25"/>
  <c r="I25"/>
  <c r="K1504" i="1"/>
  <c r="K614"/>
  <c r="I87" i="2"/>
  <c r="J1107"/>
  <c r="E1666"/>
  <c r="E1138"/>
  <c r="E1137" s="1"/>
  <c r="E299"/>
  <c r="I1139"/>
  <c r="J87"/>
  <c r="I1955"/>
  <c r="J1955"/>
  <c r="I359"/>
  <c r="E2052"/>
  <c r="I2053"/>
  <c r="I1924"/>
  <c r="E1911"/>
  <c r="J1603"/>
  <c r="I1603"/>
  <c r="I906"/>
  <c r="J906"/>
  <c r="J459"/>
  <c r="I459"/>
  <c r="J1490"/>
  <c r="I1129"/>
  <c r="I1133"/>
  <c r="I1834"/>
  <c r="J661"/>
  <c r="E1650"/>
  <c r="I1650" s="1"/>
  <c r="I1651"/>
  <c r="I1348"/>
  <c r="E1344"/>
  <c r="J477"/>
  <c r="I477"/>
  <c r="J2033"/>
  <c r="J2034"/>
  <c r="I1125"/>
  <c r="E1121"/>
  <c r="J2023"/>
  <c r="J912"/>
  <c r="I912"/>
  <c r="J1354"/>
  <c r="I1354"/>
  <c r="J1932"/>
  <c r="I1932"/>
  <c r="J1651"/>
  <c r="I439"/>
  <c r="J439"/>
  <c r="J1844"/>
  <c r="I1844"/>
  <c r="J565"/>
  <c r="I565"/>
  <c r="J580"/>
  <c r="I580"/>
  <c r="J492"/>
  <c r="I492"/>
  <c r="I2000"/>
  <c r="J2000"/>
  <c r="J853"/>
  <c r="I853"/>
  <c r="J1772"/>
  <c r="J608"/>
  <c r="I608"/>
  <c r="I2146"/>
  <c r="E2145"/>
  <c r="I2145" s="1"/>
  <c r="I805"/>
  <c r="E795"/>
  <c r="I1874"/>
  <c r="J1874"/>
  <c r="J2140"/>
  <c r="J1763"/>
  <c r="I1763"/>
  <c r="I1509"/>
  <c r="J1509"/>
  <c r="I2034"/>
  <c r="E2033"/>
  <c r="I340"/>
  <c r="J340"/>
  <c r="J681"/>
  <c r="I681"/>
  <c r="I1563"/>
  <c r="I172"/>
  <c r="J903"/>
  <c r="I903"/>
  <c r="J769"/>
  <c r="I769"/>
  <c r="J939"/>
  <c r="I939"/>
  <c r="I1398"/>
  <c r="J1398"/>
  <c r="I1454"/>
  <c r="I1667"/>
  <c r="J1015"/>
  <c r="I611"/>
  <c r="J611"/>
  <c r="I1076"/>
  <c r="I664"/>
  <c r="E660"/>
  <c r="J623"/>
  <c r="I623"/>
  <c r="J1407"/>
  <c r="I1407"/>
  <c r="J1819"/>
  <c r="I1819"/>
  <c r="J1097"/>
  <c r="I1097"/>
  <c r="I712"/>
  <c r="E708"/>
  <c r="J627"/>
  <c r="J1699"/>
  <c r="I1699"/>
  <c r="I2017"/>
  <c r="J2017"/>
  <c r="J275"/>
  <c r="I1530"/>
  <c r="E1523"/>
  <c r="J1070"/>
  <c r="I1070"/>
  <c r="J1282"/>
  <c r="I1358"/>
  <c r="J1358"/>
  <c r="E130"/>
  <c r="E1755"/>
  <c r="I991"/>
  <c r="J1300"/>
  <c r="I1300"/>
  <c r="J352"/>
  <c r="I352"/>
  <c r="I1760"/>
  <c r="J1190"/>
  <c r="I1190"/>
  <c r="J1499"/>
  <c r="I1499"/>
  <c r="I1241"/>
  <c r="E1234"/>
  <c r="J104"/>
  <c r="I104"/>
  <c r="I1715"/>
  <c r="J1715"/>
  <c r="I921"/>
  <c r="J921"/>
  <c r="J656"/>
  <c r="J2063"/>
  <c r="I2063"/>
  <c r="I425"/>
  <c r="E424"/>
  <c r="J1918"/>
  <c r="I1918"/>
  <c r="J1710"/>
  <c r="I1710"/>
  <c r="I1915"/>
  <c r="J1915"/>
  <c r="I2071"/>
  <c r="J2071"/>
  <c r="J799"/>
  <c r="E1619"/>
  <c r="I1619" s="1"/>
  <c r="I1620"/>
  <c r="J497"/>
  <c r="I497"/>
  <c r="E1367"/>
  <c r="I1368"/>
  <c r="I2140"/>
  <c r="E2139"/>
  <c r="J1679"/>
  <c r="I1679"/>
  <c r="I1212"/>
  <c r="J1212"/>
  <c r="I1312"/>
  <c r="E1642"/>
  <c r="I1642" s="1"/>
  <c r="I1643"/>
  <c r="E1245"/>
  <c r="I1245" s="1"/>
  <c r="I1249"/>
  <c r="J1964"/>
  <c r="I1964"/>
  <c r="J1730"/>
  <c r="I1730"/>
  <c r="I1805"/>
  <c r="J1805"/>
  <c r="I1779"/>
  <c r="J1779"/>
  <c r="J84"/>
  <c r="I72"/>
  <c r="J72"/>
  <c r="E1331"/>
  <c r="I1332"/>
  <c r="J600"/>
  <c r="I600"/>
  <c r="J987"/>
  <c r="I1467"/>
  <c r="J1467"/>
  <c r="J2081"/>
  <c r="I2081"/>
  <c r="J1436"/>
  <c r="I1436"/>
  <c r="I690"/>
  <c r="J690"/>
  <c r="E1742"/>
  <c r="J1408"/>
  <c r="I1820"/>
  <c r="I2072"/>
  <c r="L2255" i="1" l="1"/>
  <c r="I393" i="2"/>
  <c r="L866" i="1"/>
  <c r="H1667"/>
  <c r="L1667" s="1"/>
  <c r="H1264"/>
  <c r="H1263" s="1"/>
  <c r="H1262" s="1"/>
  <c r="L2327"/>
  <c r="M2327"/>
  <c r="M1173"/>
  <c r="L1173"/>
  <c r="L791"/>
  <c r="M791"/>
  <c r="L2440"/>
  <c r="M2440"/>
  <c r="M2294"/>
  <c r="L2294"/>
  <c r="L155"/>
  <c r="M155"/>
  <c r="L189"/>
  <c r="M189"/>
  <c r="L776"/>
  <c r="M776"/>
  <c r="K380"/>
  <c r="L381"/>
  <c r="M381"/>
  <c r="L165"/>
  <c r="M165"/>
  <c r="M1069"/>
  <c r="M1255"/>
  <c r="L1255"/>
  <c r="L925"/>
  <c r="M925"/>
  <c r="M1042"/>
  <c r="L1042"/>
  <c r="L630"/>
  <c r="M630"/>
  <c r="K393"/>
  <c r="L394"/>
  <c r="M394"/>
  <c r="L204"/>
  <c r="M204"/>
  <c r="L2970"/>
  <c r="M2970"/>
  <c r="M2913"/>
  <c r="L2913"/>
  <c r="M1829"/>
  <c r="L1519"/>
  <c r="M1519"/>
  <c r="M234"/>
  <c r="K1899"/>
  <c r="L1900"/>
  <c r="M1900"/>
  <c r="M1499"/>
  <c r="L1499"/>
  <c r="L2953"/>
  <c r="M2953"/>
  <c r="M1818"/>
  <c r="L1818"/>
  <c r="M614"/>
  <c r="L614"/>
  <c r="L2460"/>
  <c r="M2460"/>
  <c r="L2886"/>
  <c r="M2886"/>
  <c r="M2982"/>
  <c r="L2982"/>
  <c r="L865"/>
  <c r="M865"/>
  <c r="K886"/>
  <c r="L896"/>
  <c r="M896"/>
  <c r="L2639"/>
  <c r="M2639"/>
  <c r="M2705"/>
  <c r="L2705"/>
  <c r="M1805"/>
  <c r="L1805"/>
  <c r="M1059"/>
  <c r="L1059"/>
  <c r="M2729"/>
  <c r="L2729"/>
  <c r="L2622"/>
  <c r="M2622"/>
  <c r="L1551"/>
  <c r="M1551"/>
  <c r="L603"/>
  <c r="M603"/>
  <c r="L509"/>
  <c r="M509"/>
  <c r="K508"/>
  <c r="L1505"/>
  <c r="M1505"/>
  <c r="L1963"/>
  <c r="M1872"/>
  <c r="L1872"/>
  <c r="M264"/>
  <c r="L264"/>
  <c r="L359"/>
  <c r="M359"/>
  <c r="M2817"/>
  <c r="L2817"/>
  <c r="L1250"/>
  <c r="M1250"/>
  <c r="M1478"/>
  <c r="L1478"/>
  <c r="L1892"/>
  <c r="M1892"/>
  <c r="M959"/>
  <c r="L959"/>
  <c r="L372"/>
  <c r="M372"/>
  <c r="M2328"/>
  <c r="L2328"/>
  <c r="M1242"/>
  <c r="L1242"/>
  <c r="K1241"/>
  <c r="I1622"/>
  <c r="M1622" s="1"/>
  <c r="M1634"/>
  <c r="L2520"/>
  <c r="M2520"/>
  <c r="M1739"/>
  <c r="L1739"/>
  <c r="L920"/>
  <c r="M920"/>
  <c r="H1666"/>
  <c r="L1666" s="1"/>
  <c r="M1962"/>
  <c r="L1962"/>
  <c r="M2870"/>
  <c r="L2870"/>
  <c r="L406"/>
  <c r="M406"/>
  <c r="M2319"/>
  <c r="L2319"/>
  <c r="L2572"/>
  <c r="M2572"/>
  <c r="L636"/>
  <c r="M636"/>
  <c r="M559"/>
  <c r="L559"/>
  <c r="M1019"/>
  <c r="K112"/>
  <c r="M113"/>
  <c r="L113"/>
  <c r="M1043"/>
  <c r="L1043"/>
  <c r="L126"/>
  <c r="M126"/>
  <c r="L93"/>
  <c r="M93"/>
  <c r="M1524"/>
  <c r="L1524"/>
  <c r="L2143"/>
  <c r="M2143"/>
  <c r="M1264"/>
  <c r="L1570"/>
  <c r="M1570"/>
  <c r="M2254"/>
  <c r="L2254"/>
  <c r="L321"/>
  <c r="M321"/>
  <c r="L967"/>
  <c r="M967"/>
  <c r="M544"/>
  <c r="L544"/>
  <c r="M2591"/>
  <c r="L2591"/>
  <c r="M1559"/>
  <c r="L1559"/>
  <c r="M2338"/>
  <c r="L2338"/>
  <c r="L2780"/>
  <c r="M2780"/>
  <c r="K275"/>
  <c r="L290"/>
  <c r="M290"/>
  <c r="L1754"/>
  <c r="M1754"/>
  <c r="K211"/>
  <c r="M212"/>
  <c r="L212"/>
  <c r="L2404"/>
  <c r="M2404"/>
  <c r="K935"/>
  <c r="L936"/>
  <c r="M936"/>
  <c r="K39"/>
  <c r="M40"/>
  <c r="L40"/>
  <c r="M731"/>
  <c r="L731"/>
  <c r="M1580"/>
  <c r="L1580"/>
  <c r="K1579"/>
  <c r="K2816"/>
  <c r="K203"/>
  <c r="K202" s="1"/>
  <c r="L1810"/>
  <c r="M2236"/>
  <c r="L2236"/>
  <c r="L226"/>
  <c r="M226"/>
  <c r="M565"/>
  <c r="L565"/>
  <c r="I1666"/>
  <c r="M1667"/>
  <c r="K622"/>
  <c r="L623"/>
  <c r="M623"/>
  <c r="L464"/>
  <c r="M464"/>
  <c r="L2366"/>
  <c r="M2366"/>
  <c r="L2482"/>
  <c r="M2482"/>
  <c r="L1525"/>
  <c r="M1525"/>
  <c r="L498"/>
  <c r="M498"/>
  <c r="H1634"/>
  <c r="H9" i="2"/>
  <c r="L803" i="1"/>
  <c r="M2667"/>
  <c r="L2667"/>
  <c r="L2128"/>
  <c r="M2128"/>
  <c r="M2854"/>
  <c r="L2854"/>
  <c r="M2802"/>
  <c r="L2802"/>
  <c r="L2295"/>
  <c r="M2295"/>
  <c r="L81"/>
  <c r="M81"/>
  <c r="K80"/>
  <c r="L2446"/>
  <c r="M2446"/>
  <c r="M2926"/>
  <c r="L2926"/>
  <c r="L1490"/>
  <c r="M1490"/>
  <c r="M2761"/>
  <c r="L2761"/>
  <c r="M2849"/>
  <c r="L2849"/>
  <c r="L1817"/>
  <c r="M1817"/>
  <c r="L2487"/>
  <c r="M2487"/>
  <c r="L102"/>
  <c r="M102"/>
  <c r="K101"/>
  <c r="K1729"/>
  <c r="M1730"/>
  <c r="L1730"/>
  <c r="L2403"/>
  <c r="M2403"/>
  <c r="M1202"/>
  <c r="L1202"/>
  <c r="L2492"/>
  <c r="M2492"/>
  <c r="L521"/>
  <c r="M521"/>
  <c r="L1504"/>
  <c r="M1504"/>
  <c r="M2692"/>
  <c r="L2692"/>
  <c r="L2186"/>
  <c r="M2186"/>
  <c r="K1588"/>
  <c r="M1589"/>
  <c r="L1589"/>
  <c r="M2427"/>
  <c r="L2427"/>
  <c r="L749"/>
  <c r="M749"/>
  <c r="L1052"/>
  <c r="M1052"/>
  <c r="L469"/>
  <c r="M469"/>
  <c r="M2834"/>
  <c r="L2834"/>
  <c r="M769"/>
  <c r="L769"/>
  <c r="L1167"/>
  <c r="M1167"/>
  <c r="L1471"/>
  <c r="M1471"/>
  <c r="L499"/>
  <c r="M499"/>
  <c r="K2652"/>
  <c r="M2653"/>
  <c r="L2971"/>
  <c r="M2971"/>
  <c r="L1610"/>
  <c r="M1610"/>
  <c r="I2583"/>
  <c r="K125"/>
  <c r="L1901"/>
  <c r="L382"/>
  <c r="I2582"/>
  <c r="L2347"/>
  <c r="M2347"/>
  <c r="K972"/>
  <c r="L972" s="1"/>
  <c r="L973"/>
  <c r="I972"/>
  <c r="M973"/>
  <c r="H802"/>
  <c r="K18"/>
  <c r="K17" s="1"/>
  <c r="M19"/>
  <c r="H1829"/>
  <c r="H1817" s="1"/>
  <c r="K371"/>
  <c r="K1816"/>
  <c r="K1018"/>
  <c r="H2252"/>
  <c r="H2251" s="1"/>
  <c r="H2653"/>
  <c r="L2653" s="1"/>
  <c r="K188"/>
  <c r="K1753"/>
  <c r="K1550"/>
  <c r="H274"/>
  <c r="I1058" i="2"/>
  <c r="H111" i="1"/>
  <c r="I1817"/>
  <c r="G2990"/>
  <c r="H2481"/>
  <c r="H2438" s="1"/>
  <c r="J2990"/>
  <c r="I1068"/>
  <c r="E1075" i="2"/>
  <c r="E1074" s="1"/>
  <c r="K2621" i="1"/>
  <c r="K1558"/>
  <c r="K2583"/>
  <c r="L2583" s="1"/>
  <c r="H1069"/>
  <c r="H1068" s="1"/>
  <c r="K629"/>
  <c r="I224"/>
  <c r="I886"/>
  <c r="I885" s="1"/>
  <c r="I884" s="1"/>
  <c r="K768"/>
  <c r="K947"/>
  <c r="H1803"/>
  <c r="H1019"/>
  <c r="L1019" s="1"/>
  <c r="I757" i="2"/>
  <c r="K2792" i="1"/>
  <c r="L2792" s="1"/>
  <c r="I1579"/>
  <c r="J56" i="2"/>
  <c r="K2952" i="1"/>
  <c r="E1449" i="2"/>
  <c r="I1450"/>
  <c r="H2620" i="1"/>
  <c r="K2912"/>
  <c r="K2771"/>
  <c r="K1058"/>
  <c r="K2728"/>
  <c r="K154"/>
  <c r="K2829"/>
  <c r="I2481"/>
  <c r="I2438" s="1"/>
  <c r="K1891"/>
  <c r="H1249"/>
  <c r="I1262"/>
  <c r="I1248" s="1"/>
  <c r="K2346"/>
  <c r="I2652"/>
  <c r="K1477"/>
  <c r="H519"/>
  <c r="J2097" i="2"/>
  <c r="I1589"/>
  <c r="I1742"/>
  <c r="J1174"/>
  <c r="I642"/>
  <c r="I2090"/>
  <c r="I1490"/>
  <c r="J1173"/>
  <c r="E1453"/>
  <c r="I1137"/>
  <c r="I1628"/>
  <c r="I389"/>
  <c r="E1537"/>
  <c r="E1522" s="1"/>
  <c r="I1850"/>
  <c r="G2155"/>
  <c r="I660"/>
  <c r="J1537"/>
  <c r="I168"/>
  <c r="I708"/>
  <c r="J389"/>
  <c r="J202"/>
  <c r="H497" i="1"/>
  <c r="H380"/>
  <c r="H235"/>
  <c r="L235" s="1"/>
  <c r="I299" i="2"/>
  <c r="J642"/>
  <c r="D9"/>
  <c r="D2155" s="1"/>
  <c r="I2104"/>
  <c r="J1419"/>
  <c r="J299"/>
  <c r="I1121"/>
  <c r="J1075"/>
  <c r="I1048"/>
  <c r="J168"/>
  <c r="J130"/>
  <c r="J708"/>
  <c r="J2123"/>
  <c r="J1858"/>
  <c r="E794"/>
  <c r="I1475"/>
  <c r="I130"/>
  <c r="J1666"/>
  <c r="E388"/>
  <c r="J1048"/>
  <c r="J660"/>
  <c r="I1666"/>
  <c r="E1962"/>
  <c r="I1962" s="1"/>
  <c r="J1522"/>
  <c r="I274"/>
  <c r="E1014"/>
  <c r="E1588"/>
  <c r="J1234"/>
  <c r="H40" i="1"/>
  <c r="H39" s="1"/>
  <c r="I1015" i="2"/>
  <c r="K2481" i="1"/>
  <c r="K164"/>
  <c r="H211"/>
  <c r="H2828"/>
  <c r="H2827" s="1"/>
  <c r="K2885"/>
  <c r="K1263"/>
  <c r="K1498"/>
  <c r="K2253"/>
  <c r="K463"/>
  <c r="K2459"/>
  <c r="H9"/>
  <c r="L10"/>
  <c r="I497"/>
  <c r="I496" s="1"/>
  <c r="K2630"/>
  <c r="L2630" s="1"/>
  <c r="K1051"/>
  <c r="H1891"/>
  <c r="I2912"/>
  <c r="H2910"/>
  <c r="I748" i="2"/>
  <c r="J748"/>
  <c r="K2571" i="1"/>
  <c r="I211"/>
  <c r="I1607" i="2"/>
  <c r="J2012"/>
  <c r="I1138"/>
  <c r="M30" i="1"/>
  <c r="L30"/>
  <c r="J1037" i="2"/>
  <c r="J2134"/>
  <c r="K2439" i="1"/>
  <c r="K2704"/>
  <c r="K2745"/>
  <c r="K1738"/>
  <c r="K919"/>
  <c r="K1489"/>
  <c r="K2638"/>
  <c r="K1804"/>
  <c r="I39"/>
  <c r="K2691"/>
  <c r="K1068"/>
  <c r="K2969"/>
  <c r="K2235"/>
  <c r="I80"/>
  <c r="K2426"/>
  <c r="K2869"/>
  <c r="I202" i="2"/>
  <c r="K2666" i="1"/>
  <c r="J2047" i="2"/>
  <c r="K2843" i="1"/>
  <c r="K320"/>
  <c r="K775"/>
  <c r="K2185"/>
  <c r="I934"/>
  <c r="K2445"/>
  <c r="K1249"/>
  <c r="K1871"/>
  <c r="K802"/>
  <c r="M802" s="1"/>
  <c r="H947"/>
  <c r="K2326"/>
  <c r="K564"/>
  <c r="E167" i="2"/>
  <c r="I2134"/>
  <c r="H371" i="1"/>
  <c r="K1201"/>
  <c r="K1961"/>
  <c r="K225"/>
  <c r="J1445" i="2"/>
  <c r="J1449"/>
  <c r="K405" i="1"/>
  <c r="K613"/>
  <c r="J12" i="2"/>
  <c r="I12"/>
  <c r="K520" i="1"/>
  <c r="K2142"/>
  <c r="K2981"/>
  <c r="H2727"/>
  <c r="K2925"/>
  <c r="K748"/>
  <c r="H79"/>
  <c r="K2318"/>
  <c r="K258"/>
  <c r="K635"/>
  <c r="K2801"/>
  <c r="E11" i="2"/>
  <c r="I1037"/>
  <c r="E1233"/>
  <c r="I1234"/>
  <c r="E1829"/>
  <c r="I1830"/>
  <c r="J1840"/>
  <c r="I1840"/>
  <c r="I1602"/>
  <c r="J1602"/>
  <c r="J1962"/>
  <c r="I1801"/>
  <c r="J1801"/>
  <c r="J617"/>
  <c r="I617"/>
  <c r="I1435"/>
  <c r="J1435"/>
  <c r="J351"/>
  <c r="I351"/>
  <c r="I1523"/>
  <c r="J1938"/>
  <c r="I1938"/>
  <c r="J2139"/>
  <c r="I795"/>
  <c r="J795"/>
  <c r="J424"/>
  <c r="I424"/>
  <c r="E2046"/>
  <c r="I2052"/>
  <c r="J83"/>
  <c r="I1380"/>
  <c r="J1380"/>
  <c r="E2022"/>
  <c r="I2033"/>
  <c r="I1344"/>
  <c r="J1344"/>
  <c r="J2062"/>
  <c r="I2062"/>
  <c r="I1756"/>
  <c r="J1756"/>
  <c r="J274"/>
  <c r="J339"/>
  <c r="I339"/>
  <c r="J1931"/>
  <c r="I1931"/>
  <c r="E1627"/>
  <c r="J2022"/>
  <c r="I1706"/>
  <c r="J1706"/>
  <c r="I1278"/>
  <c r="J1278"/>
  <c r="J672"/>
  <c r="I672"/>
  <c r="I1996"/>
  <c r="J1996"/>
  <c r="J1650"/>
  <c r="J1489"/>
  <c r="I1489"/>
  <c r="J1189"/>
  <c r="I1189"/>
  <c r="J1873"/>
  <c r="I1873"/>
  <c r="I1331"/>
  <c r="E1277"/>
  <c r="J103"/>
  <c r="I103"/>
  <c r="E2133"/>
  <c r="I2139"/>
  <c r="I1911"/>
  <c r="J1911"/>
  <c r="L1264" i="1" l="1"/>
  <c r="M1961"/>
  <c r="L1961"/>
  <c r="L748"/>
  <c r="M748"/>
  <c r="L613"/>
  <c r="M613"/>
  <c r="M1249"/>
  <c r="L1249"/>
  <c r="M2666"/>
  <c r="L2666"/>
  <c r="M2691"/>
  <c r="L2691"/>
  <c r="M2704"/>
  <c r="L2704"/>
  <c r="L1051"/>
  <c r="M1051"/>
  <c r="M2253"/>
  <c r="L2253"/>
  <c r="L154"/>
  <c r="M154"/>
  <c r="M2952"/>
  <c r="L2952"/>
  <c r="M768"/>
  <c r="L768"/>
  <c r="L1018"/>
  <c r="M1018"/>
  <c r="M125"/>
  <c r="L125"/>
  <c r="K2651"/>
  <c r="L2652"/>
  <c r="M2652"/>
  <c r="L80"/>
  <c r="M80"/>
  <c r="K79"/>
  <c r="M1579"/>
  <c r="L1579"/>
  <c r="L1241"/>
  <c r="M1241"/>
  <c r="M380"/>
  <c r="L380"/>
  <c r="L1201"/>
  <c r="M1201"/>
  <c r="L1871"/>
  <c r="M1871"/>
  <c r="L1068"/>
  <c r="M1068"/>
  <c r="L2745"/>
  <c r="M2745"/>
  <c r="M463"/>
  <c r="L463"/>
  <c r="M2481"/>
  <c r="L2481"/>
  <c r="L1477"/>
  <c r="M1477"/>
  <c r="M2829"/>
  <c r="L2829"/>
  <c r="M2621"/>
  <c r="L2621"/>
  <c r="L101"/>
  <c r="M101"/>
  <c r="H1622"/>
  <c r="L1634"/>
  <c r="M2816"/>
  <c r="L2816"/>
  <c r="L39"/>
  <c r="M39"/>
  <c r="K210"/>
  <c r="L211"/>
  <c r="M211"/>
  <c r="M886"/>
  <c r="L886"/>
  <c r="M2318"/>
  <c r="L2318"/>
  <c r="L2843"/>
  <c r="M2843"/>
  <c r="M2969"/>
  <c r="L2969"/>
  <c r="L1738"/>
  <c r="M1738"/>
  <c r="L164"/>
  <c r="M164"/>
  <c r="L1558"/>
  <c r="M1558"/>
  <c r="K1621"/>
  <c r="L1729"/>
  <c r="M1729"/>
  <c r="I1621"/>
  <c r="I1609" s="1"/>
  <c r="M1666"/>
  <c r="M203"/>
  <c r="L203"/>
  <c r="L1829"/>
  <c r="K1569"/>
  <c r="K2815"/>
  <c r="K2814" s="1"/>
  <c r="I2437"/>
  <c r="L802"/>
  <c r="L258"/>
  <c r="M258"/>
  <c r="L919"/>
  <c r="M919"/>
  <c r="M188"/>
  <c r="L188"/>
  <c r="M2142"/>
  <c r="L2142"/>
  <c r="L1489"/>
  <c r="M1489"/>
  <c r="L2912"/>
  <c r="M2912"/>
  <c r="L275"/>
  <c r="M275"/>
  <c r="L2638"/>
  <c r="M2638"/>
  <c r="L629"/>
  <c r="M629"/>
  <c r="L2326"/>
  <c r="M2326"/>
  <c r="M2185"/>
  <c r="L2185"/>
  <c r="M520"/>
  <c r="L520"/>
  <c r="K274"/>
  <c r="L320"/>
  <c r="M320"/>
  <c r="L2235"/>
  <c r="M2235"/>
  <c r="L2459"/>
  <c r="M2459"/>
  <c r="L202"/>
  <c r="M202"/>
  <c r="L1588"/>
  <c r="M1588"/>
  <c r="L112"/>
  <c r="M112"/>
  <c r="L635"/>
  <c r="M635"/>
  <c r="L225"/>
  <c r="M225"/>
  <c r="M775"/>
  <c r="L775"/>
  <c r="L1891"/>
  <c r="M1891"/>
  <c r="M1753"/>
  <c r="L1753"/>
  <c r="L622"/>
  <c r="M622"/>
  <c r="L2801"/>
  <c r="M2801"/>
  <c r="M2981"/>
  <c r="L2981"/>
  <c r="L564"/>
  <c r="M564"/>
  <c r="L2426"/>
  <c r="M2426"/>
  <c r="L2885"/>
  <c r="M2885"/>
  <c r="L2771"/>
  <c r="M2771"/>
  <c r="M1550"/>
  <c r="L1550"/>
  <c r="L2869"/>
  <c r="M2869"/>
  <c r="M1804"/>
  <c r="L1804"/>
  <c r="L2571"/>
  <c r="M2571"/>
  <c r="L1263"/>
  <c r="M1263"/>
  <c r="M1058"/>
  <c r="L1058"/>
  <c r="M371"/>
  <c r="L371"/>
  <c r="L935"/>
  <c r="M935"/>
  <c r="M508"/>
  <c r="L508"/>
  <c r="K497"/>
  <c r="L1899"/>
  <c r="M1899"/>
  <c r="L2925"/>
  <c r="M2925"/>
  <c r="L405"/>
  <c r="M405"/>
  <c r="M2445"/>
  <c r="L2445"/>
  <c r="L2439"/>
  <c r="M2439"/>
  <c r="L1498"/>
  <c r="M1498"/>
  <c r="L2728"/>
  <c r="M2728"/>
  <c r="L393"/>
  <c r="M393"/>
  <c r="I966"/>
  <c r="L1069"/>
  <c r="M2583"/>
  <c r="M2346"/>
  <c r="L2346"/>
  <c r="M972"/>
  <c r="H801"/>
  <c r="L947"/>
  <c r="M947"/>
  <c r="M18"/>
  <c r="L18"/>
  <c r="K370"/>
  <c r="K187"/>
  <c r="H1248"/>
  <c r="H2652"/>
  <c r="K1752"/>
  <c r="K1549"/>
  <c r="I1816"/>
  <c r="M1816" s="1"/>
  <c r="H2437"/>
  <c r="I1075" i="2"/>
  <c r="K2582" i="1"/>
  <c r="L2582" s="1"/>
  <c r="K1557"/>
  <c r="K934"/>
  <c r="E2009" i="2"/>
  <c r="H1018" i="1"/>
  <c r="I1569"/>
  <c r="I1487" s="1"/>
  <c r="K2345"/>
  <c r="K2911"/>
  <c r="K2951"/>
  <c r="I2651"/>
  <c r="I1449" i="2"/>
  <c r="E1445"/>
  <c r="I1445" s="1"/>
  <c r="K111" i="1"/>
  <c r="H1816"/>
  <c r="L1816" s="1"/>
  <c r="I1173" i="2"/>
  <c r="J2090"/>
  <c r="J1137"/>
  <c r="J1627"/>
  <c r="I1627"/>
  <c r="I1537"/>
  <c r="J388"/>
  <c r="J1233"/>
  <c r="H496" i="1"/>
  <c r="H379"/>
  <c r="H378" s="1"/>
  <c r="H234"/>
  <c r="L234" s="1"/>
  <c r="I11" i="2"/>
  <c r="J11"/>
  <c r="I1522"/>
  <c r="I167"/>
  <c r="J2133"/>
  <c r="I388"/>
  <c r="I1233"/>
  <c r="J167"/>
  <c r="I2011"/>
  <c r="J2011"/>
  <c r="H17" i="1"/>
  <c r="L17" s="1"/>
  <c r="K2317"/>
  <c r="I720" i="2"/>
  <c r="J720"/>
  <c r="K2800" i="1"/>
  <c r="K918"/>
  <c r="K519"/>
  <c r="K1200"/>
  <c r="K1488"/>
  <c r="K1890"/>
  <c r="H1890"/>
  <c r="K2620"/>
  <c r="K2868"/>
  <c r="I79"/>
  <c r="K2727"/>
  <c r="L9"/>
  <c r="K1870"/>
  <c r="K1803"/>
  <c r="K885"/>
  <c r="K2828"/>
  <c r="K2425"/>
  <c r="I17"/>
  <c r="M17" s="1"/>
  <c r="K2438"/>
  <c r="I210"/>
  <c r="K2252"/>
  <c r="K1262"/>
  <c r="K966"/>
  <c r="I2133" i="2"/>
  <c r="K233" i="1"/>
  <c r="K2924"/>
  <c r="K2665"/>
  <c r="K801"/>
  <c r="M801" s="1"/>
  <c r="K2703"/>
  <c r="K379"/>
  <c r="I933"/>
  <c r="K462"/>
  <c r="K2980"/>
  <c r="H370"/>
  <c r="K2690"/>
  <c r="J1014" i="2"/>
  <c r="I1014"/>
  <c r="H210" i="1"/>
  <c r="K1737"/>
  <c r="K2637"/>
  <c r="K2884"/>
  <c r="H934"/>
  <c r="I2911"/>
  <c r="J1588" i="2"/>
  <c r="I1588"/>
  <c r="J1453"/>
  <c r="I1453"/>
  <c r="I1074"/>
  <c r="J1074"/>
  <c r="I1829"/>
  <c r="J1829"/>
  <c r="I794"/>
  <c r="J794"/>
  <c r="I1930"/>
  <c r="J1930"/>
  <c r="J2046"/>
  <c r="I2046"/>
  <c r="I1755"/>
  <c r="J1755"/>
  <c r="J1367"/>
  <c r="I1367"/>
  <c r="I2022"/>
  <c r="I1277"/>
  <c r="J1277"/>
  <c r="L1737" i="1" l="1"/>
  <c r="M1737"/>
  <c r="L2814"/>
  <c r="M2814"/>
  <c r="L1870"/>
  <c r="M1870"/>
  <c r="M1488"/>
  <c r="L1488"/>
  <c r="M1752"/>
  <c r="L1752"/>
  <c r="L2703"/>
  <c r="M2703"/>
  <c r="L2252"/>
  <c r="M2252"/>
  <c r="L1803"/>
  <c r="M1803"/>
  <c r="M1890"/>
  <c r="L1890"/>
  <c r="L2317"/>
  <c r="M2317"/>
  <c r="L111"/>
  <c r="M111"/>
  <c r="L1549"/>
  <c r="M1549"/>
  <c r="M79"/>
  <c r="L79"/>
  <c r="L379"/>
  <c r="M379"/>
  <c r="L1262"/>
  <c r="M1262"/>
  <c r="M885"/>
  <c r="L885"/>
  <c r="M210"/>
  <c r="L210"/>
  <c r="L2828"/>
  <c r="M2828"/>
  <c r="K1609"/>
  <c r="L1621"/>
  <c r="M1621"/>
  <c r="M462"/>
  <c r="L462"/>
  <c r="L2425"/>
  <c r="M2425"/>
  <c r="L2800"/>
  <c r="M2800"/>
  <c r="L2911"/>
  <c r="M2911"/>
  <c r="L370"/>
  <c r="M370"/>
  <c r="L2815"/>
  <c r="M2815"/>
  <c r="M2884"/>
  <c r="L2884"/>
  <c r="M918"/>
  <c r="L918"/>
  <c r="L2438"/>
  <c r="M2438"/>
  <c r="M2620"/>
  <c r="L2620"/>
  <c r="L1569"/>
  <c r="M1569"/>
  <c r="M2637"/>
  <c r="L2637"/>
  <c r="L2868"/>
  <c r="M2868"/>
  <c r="L1622"/>
  <c r="H1621"/>
  <c r="H1609" s="1"/>
  <c r="K2650"/>
  <c r="M2651"/>
  <c r="L2980"/>
  <c r="M2980"/>
  <c r="M233"/>
  <c r="M2951"/>
  <c r="L2951"/>
  <c r="M187"/>
  <c r="L187"/>
  <c r="L2924"/>
  <c r="M2924"/>
  <c r="L2727"/>
  <c r="M2727"/>
  <c r="L519"/>
  <c r="M519"/>
  <c r="K1487"/>
  <c r="L1557"/>
  <c r="M1557"/>
  <c r="L497"/>
  <c r="M497"/>
  <c r="L2690"/>
  <c r="M2690"/>
  <c r="L2665"/>
  <c r="M2665"/>
  <c r="L1200"/>
  <c r="M1200"/>
  <c r="L274"/>
  <c r="M274"/>
  <c r="M2582"/>
  <c r="L2345"/>
  <c r="M2345"/>
  <c r="M966"/>
  <c r="H747"/>
  <c r="L747" s="1"/>
  <c r="L801"/>
  <c r="M934"/>
  <c r="L934"/>
  <c r="K747"/>
  <c r="M747" s="1"/>
  <c r="H2651"/>
  <c r="L2651" s="1"/>
  <c r="I1802"/>
  <c r="K8"/>
  <c r="K2325"/>
  <c r="H1802"/>
  <c r="H966"/>
  <c r="H933" s="1"/>
  <c r="E9" i="2"/>
  <c r="I9" s="1"/>
  <c r="K2950" i="1"/>
  <c r="I2650"/>
  <c r="K2910"/>
  <c r="J2009" i="2"/>
  <c r="H233" i="1"/>
  <c r="H224" s="1"/>
  <c r="H8"/>
  <c r="I2009" i="2"/>
  <c r="K2251" i="1"/>
  <c r="K884"/>
  <c r="K378"/>
  <c r="K2689"/>
  <c r="K2799"/>
  <c r="K496"/>
  <c r="K2702"/>
  <c r="K1802"/>
  <c r="K2923"/>
  <c r="K2437"/>
  <c r="K2867"/>
  <c r="I2910"/>
  <c r="K1736"/>
  <c r="K2664"/>
  <c r="K224"/>
  <c r="K2968"/>
  <c r="I8"/>
  <c r="K1248"/>
  <c r="K2827"/>
  <c r="K2883"/>
  <c r="K933"/>
  <c r="J9" i="2"/>
  <c r="H2155"/>
  <c r="J1928"/>
  <c r="I1928"/>
  <c r="F2155"/>
  <c r="L233" i="1" l="1"/>
  <c r="L2827"/>
  <c r="M2827"/>
  <c r="L378"/>
  <c r="M378"/>
  <c r="M2968"/>
  <c r="L2968"/>
  <c r="L1802"/>
  <c r="M1802"/>
  <c r="M2923"/>
  <c r="L2923"/>
  <c r="L2251"/>
  <c r="M2251"/>
  <c r="M1248"/>
  <c r="L1248"/>
  <c r="L884"/>
  <c r="M884"/>
  <c r="L2950"/>
  <c r="M2950"/>
  <c r="L966"/>
  <c r="M2867"/>
  <c r="L2867"/>
  <c r="M2650"/>
  <c r="M2883"/>
  <c r="L2883"/>
  <c r="L2689"/>
  <c r="M2689"/>
  <c r="M2910"/>
  <c r="L2910"/>
  <c r="M1487"/>
  <c r="L1487"/>
  <c r="M1609"/>
  <c r="L1609"/>
  <c r="M1736"/>
  <c r="L1736"/>
  <c r="M2799"/>
  <c r="L2799"/>
  <c r="L2664"/>
  <c r="M2664"/>
  <c r="L496"/>
  <c r="M496"/>
  <c r="M224"/>
  <c r="L224"/>
  <c r="L2702"/>
  <c r="M2702"/>
  <c r="L2437"/>
  <c r="M2437"/>
  <c r="L2325"/>
  <c r="M2325"/>
  <c r="M933"/>
  <c r="L933"/>
  <c r="H2650"/>
  <c r="L2650" s="1"/>
  <c r="M8"/>
  <c r="E2155" i="2"/>
  <c r="L8" i="1"/>
  <c r="K2990"/>
  <c r="I2990"/>
  <c r="J2155" i="2"/>
  <c r="H2990" i="1" l="1"/>
  <c r="I2155" i="2"/>
  <c r="M2990" i="1"/>
  <c r="L2990" l="1"/>
</calcChain>
</file>

<file path=xl/sharedStrings.xml><?xml version="1.0" encoding="utf-8"?>
<sst xmlns="http://schemas.openxmlformats.org/spreadsheetml/2006/main" count="24377" uniqueCount="1279">
  <si>
    <t/>
  </si>
  <si>
    <t>Наименование</t>
  </si>
  <si>
    <t>Гла-
ва</t>
  </si>
  <si>
    <t>Раз-
дел</t>
  </si>
  <si>
    <t>Под-
раз-
дел</t>
  </si>
  <si>
    <t>Целевая
статья</t>
  </si>
  <si>
    <t>Вид
рас-
хо-
дов</t>
  </si>
  <si>
    <t>1</t>
  </si>
  <si>
    <t>2</t>
  </si>
  <si>
    <t>3</t>
  </si>
  <si>
    <t>4</t>
  </si>
  <si>
    <t>5</t>
  </si>
  <si>
    <t>6</t>
  </si>
  <si>
    <t>7</t>
  </si>
  <si>
    <t>МИНИСТЕРСТВО СТРОИТЕЛЬСТВА И АРХИТЕКТУРЫ АРХАНГЕЛЬСКОЙ ОБЛАСТИ</t>
  </si>
  <si>
    <t>019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</si>
  <si>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</si>
  <si>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</si>
  <si>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</si>
  <si>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</si>
  <si>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– 2020 годы)"</t>
  </si>
  <si>
    <t>06 0 00 00000</t>
  </si>
  <si>
    <t>Подпрограмма "Создание условий для реализации государственной программы"</t>
  </si>
  <si>
    <t>06 4 00 00000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</si>
  <si>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</si>
  <si>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06 4 00 78690</t>
  </si>
  <si>
    <t>Межбюджетные трансферты</t>
  </si>
  <si>
    <t>500</t>
  </si>
  <si>
    <t>Субвенции</t>
  </si>
  <si>
    <t>530</t>
  </si>
  <si>
    <t>Национальная экономика</t>
  </si>
  <si>
    <t>Водное хозяйство</t>
  </si>
  <si>
    <t>06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</si>
  <si>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 (2014 – 2020 годы)"</t>
  </si>
  <si>
    <t>10 0 00 00000</t>
  </si>
  <si>
    <t>Подпрограмма "Развитие водохозяйственного комплекса Архангельской области"</t>
  </si>
  <si>
    <t>10 3 00 00000</t>
  </si>
  <si>
    <t>Строительство и реконструкция объектов капитального строительства государственной собственности Архангельской области</t>
  </si>
  <si>
    <t>10 3 00 70300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</si>
  <si>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</si>
  <si>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</si>
  <si>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</si>
  <si>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</si>
  <si>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Реализация мероприятий федеральной целевой программы "Развитие водохозяйственного комплекса Российской Федерации в 2012 – 2020 годах" (областной бюджет)</t>
  </si>
  <si>
    <t>10 3 00 R0160</t>
  </si>
  <si>
    <t>Дорожное хозяйство (дорожные фонды)</t>
  </si>
  <si>
    <t>09</t>
  </si>
  <si>
    <t>Государственная программа Архангельской области "Культура Русского Севера (2013 – 2020 годы)"</t>
  </si>
  <si>
    <t>04 0 00 00000</t>
  </si>
  <si>
    <t>04 0 00 70300</t>
  </si>
  <si>
    <t>Другие вопросы в области национальной экономики</t>
  </si>
  <si>
    <t>12</t>
  </si>
  <si>
    <t>Подпрограмма "Создание условий для обеспечения доступным и комфортным жильем жителей Архангельской области"</t>
  </si>
  <si>
    <t>06 1 00 00000</t>
  </si>
  <si>
    <t>Разработка генеральных планов и правил землепользования</t>
  </si>
  <si>
    <t>06 1 00 78280</t>
  </si>
  <si>
    <t>Субсидии</t>
  </si>
  <si>
    <t>520</t>
  </si>
  <si>
    <t>Расходы на содержание государственных органов и обеспечение их функций</t>
  </si>
  <si>
    <t>06 4 00 70010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</si>
  <si>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</si>
  <si>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</si>
  <si>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</si>
  <si>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</si>
  <si>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</si>
  <si>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</si>
  <si>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</si>
  <si>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</si>
  <si>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</si>
  <si>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</si>
  <si>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</si>
  <si>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</si>
  <si>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</si>
  <si>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</si>
  <si>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>Уплата налогов, сборов и иных платежей</t>
  </si>
  <si>
    <t>850</t>
  </si>
  <si>
    <t>Расходы на обеспечение деятельности подведомственных учреждений</t>
  </si>
  <si>
    <t>06 4 00 70100</t>
  </si>
  <si>
    <t>Расходы на выплаты персоналу казенных учреждений</t>
  </si>
  <si>
    <t>110</t>
  </si>
  <si>
    <t>Предоставление субсидий бюджетным, автономным учреждениям и иным некоммерческим организациям</t>
  </si>
  <si>
    <t>600</t>
  </si>
  <si>
    <t>Субсидии автономным учреждениям</t>
  </si>
  <si>
    <t>620</t>
  </si>
  <si>
    <t>Исполнение судебных актов</t>
  </si>
  <si>
    <t>830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</si>
  <si>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2018 годы)"</t>
  </si>
  <si>
    <t>08 0 00 00000</t>
  </si>
  <si>
    <t>Подпрограмма "Профилактика преступлений и иных правонарушений в Архангельской области"</t>
  </si>
  <si>
    <t>08 2 00 00000</t>
  </si>
  <si>
    <t>08 2 00 70100</t>
  </si>
  <si>
    <t>08 2 00 70300</t>
  </si>
  <si>
    <t>Жилищно-коммунальное хозяйство</t>
  </si>
  <si>
    <t>05</t>
  </si>
  <si>
    <t>Жилищное хозяйство</t>
  </si>
  <si>
    <t>Обеспечение жильем граждан, уволенных с военной службы (службы), и приравненных к ним лиц</t>
  </si>
  <si>
    <t>06 1 00 54850</t>
  </si>
  <si>
    <t>06 1 00 70300</t>
  </si>
  <si>
    <t>Обеспечение мероприятий по капитальному ремонту многоквартирных домов, переселению граждан из аварийного жилищного фонда и переселению граждан из аварийного жилищного фонда с учетом необходимости развития малоэтажного жилищного строительства</t>
  </si>
  <si>
    <t>51 0 00 00000</t>
  </si>
  <si>
    <t>Обеспечение мероприятий по переселению граждан из аварийного жилищного фонда и переселению граждан из аварийного жилищного фонда с учетом необходимости развития малоэтажного жилищного строительства</t>
  </si>
  <si>
    <t>51 2 00 00000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</si>
  <si>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</si>
  <si>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51 2 00 09502</t>
  </si>
  <si>
    <t>51 2 00 09602</t>
  </si>
  <si>
    <t>Коммунальное хозяйство</t>
  </si>
  <si>
    <t>02</t>
  </si>
  <si>
    <t>Софинансирование капитальных вложений в объекты муниципальной собственности</t>
  </si>
  <si>
    <t>06 1 00 70310</t>
  </si>
  <si>
    <t>Образование</t>
  </si>
  <si>
    <t>07</t>
  </si>
  <si>
    <t>Дошкольное образование</t>
  </si>
  <si>
    <t>Государственная программа Архангельской области "Развитие образования и науки Архангельской области (2013 – 2018 годы)"</t>
  </si>
  <si>
    <t>02 0 00 00000</t>
  </si>
  <si>
    <t>Подпрограмма "Строительство и капитальный ремонт объектов инфраструктуры системы образования в Архангельской области"</t>
  </si>
  <si>
    <t>02 7 00 00000</t>
  </si>
  <si>
    <t>02 7 00 70310</t>
  </si>
  <si>
    <t>Софинансирование капитальных вложений в объекты муниципальной собственности в части дошкольных образовательных организаций за счет бюджетного кредита из федерального бюджета</t>
  </si>
  <si>
    <t>02 7 00 70340</t>
  </si>
  <si>
    <t>Общее образование</t>
  </si>
  <si>
    <t>02 7 00 70100</t>
  </si>
  <si>
    <t>04 0 00 70100</t>
  </si>
  <si>
    <t>Государственная программа Архангельской области "Устойчивое развитие сельских территорий Архангельской области (2014 – 2017 годы)"</t>
  </si>
  <si>
    <t>24 0 00 00000</t>
  </si>
  <si>
    <t>24 0 00 70310</t>
  </si>
  <si>
    <t>Реализация мероприятий федеральной целевой программы "Устойчивое развитие сельских территорий на 2014 – 2017 годы и на период до 2020 года" (областной бюджет)</t>
  </si>
  <si>
    <t>24 0 00 R0180</t>
  </si>
  <si>
    <t>Среднее профессиональное образование</t>
  </si>
  <si>
    <t>02 7 00 70300</t>
  </si>
  <si>
    <t>Культура, кинематография</t>
  </si>
  <si>
    <t>08</t>
  </si>
  <si>
    <t>Культура</t>
  </si>
  <si>
    <t>Реализация мероприятий федеральной целевой программы "Культура России (2012 – 2018 годы)" (областной бюджет)</t>
  </si>
  <si>
    <t>04 0 00 R0140</t>
  </si>
  <si>
    <t>Здравоохранение</t>
  </si>
  <si>
    <t>Стационарная медицинская помощь</t>
  </si>
  <si>
    <t>Государственная программа Архангельской области "Развитие здравоохранения Архангельской области (2013 – 2020 годы)"</t>
  </si>
  <si>
    <t>01 0 00 00000</t>
  </si>
  <si>
    <t>Подпрограмма "Совершенствование системы территориального планирования Архангельской области"</t>
  </si>
  <si>
    <t>01 Б 00 00000</t>
  </si>
  <si>
    <t>01 Б 00 70100</t>
  </si>
  <si>
    <t>01 Б 00 70300</t>
  </si>
  <si>
    <t>Программа модернизации здравоохранения Архангельской области на 2011 – 2016 годы</t>
  </si>
  <si>
    <t>53 0 00 00000</t>
  </si>
  <si>
    <t>53 0 00 70300</t>
  </si>
  <si>
    <t>Субсидии государственным корпорациям (компаниям)</t>
  </si>
  <si>
    <t>820</t>
  </si>
  <si>
    <t>Социальная политика</t>
  </si>
  <si>
    <t>10</t>
  </si>
  <si>
    <t>Социальное обеспечение населения</t>
  </si>
  <si>
    <t>03</t>
  </si>
  <si>
    <t>Социальные выплаты гражданам, кроме публичных нормативных социальных выплат</t>
  </si>
  <si>
    <t>320</t>
  </si>
  <si>
    <t>Физическая культура и спорт</t>
  </si>
  <si>
    <t>11</t>
  </si>
  <si>
    <t>Массовый спорт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</si>
  <si>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</si>
  <si>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11 0 00 00000</t>
  </si>
  <si>
    <t>Подпрограмма "Спорт Беломорья (2014 – 2020 годы)"</t>
  </si>
  <si>
    <t>11 1 00 00000</t>
  </si>
  <si>
    <t>11 1 00 70300</t>
  </si>
  <si>
    <t>11 1 00 70310</t>
  </si>
  <si>
    <t>МИНИСТЕРСТВО ТОПЛИВНО-ЭНЕРГЕТИЧЕСКОГО КОМПЛЕКСА И ЖИЛИЩНО-КОММУНАЛЬНОГО ХОЗЯЙСТВА АРХАНГЕЛЬСКОЙ ОБЛАСТИ</t>
  </si>
  <si>
    <t>023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</si>
  <si>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</si>
  <si>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</si>
  <si>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 (2014 – 2020 годы)"</t>
  </si>
  <si>
    <t>09 0 00 00000</t>
  </si>
  <si>
    <t>Подпрограмма "Снижение рисков и смягчение последствий чрезвычайных ситуаций межмуниципального и регионального характера, а также обеспечение безопасности людей на водных объектах в Архангельской области"</t>
  </si>
  <si>
    <t>09 2 00 00000</t>
  </si>
  <si>
    <t>Мероприятия в сфере гражданской обороны и защиты населения и территорий Архангельской области от чрезвычайных ситуаций, осуществляемые государственными органами</t>
  </si>
  <si>
    <t>09 2 00 70500</t>
  </si>
  <si>
    <t>Закупка товаров, работ и услуг в целях формирования государственного материального резерва</t>
  </si>
  <si>
    <t>230</t>
  </si>
  <si>
    <t>Топливно-энергетический комплекс</t>
  </si>
  <si>
    <t>Государственная программа Архангельской области "Развитие энергетики и жилищно-коммунального хозяйства Архангельской области (2014 – 2020 годы)"</t>
  </si>
  <si>
    <t>17 0 00 00000</t>
  </si>
  <si>
    <t>Подпрограмма "Энергосбережение и повышение энергетической эффективности в Архангельской области"</t>
  </si>
  <si>
    <t>17 1 00 00000</t>
  </si>
  <si>
    <t>Разработка программы и схемы перспективного развития электроэнергетики Архангельской области</t>
  </si>
  <si>
    <t>17 1 00 72070</t>
  </si>
  <si>
    <t>Подпрограмма "Формирование и реализация региональной политики в сфере энергетики и жилищно-коммунального хозяйства Архангельской области"</t>
  </si>
  <si>
    <t>17 3 00 00000</t>
  </si>
  <si>
    <t>17 3 00 70010</t>
  </si>
  <si>
    <t>Софинансирование капитальных вложений в объекты муниципальной собственности, в целях софинансирования которых Архангельской области предоставляются субсидии из федерального бюджета (областной бюджет)</t>
  </si>
  <si>
    <t>24 0 00 R1120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</si>
  <si>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Архангельской области на 2013 – 2020 годы</t>
  </si>
  <si>
    <t>05 0 00 00000</t>
  </si>
  <si>
    <t>Подпрограмма "Развитие агропромышленного комплекса Архангельской области на 2013 – 2020 годы"</t>
  </si>
  <si>
    <t>05 1 00 00000</t>
  </si>
  <si>
    <t>Поддержка садоводческих, огороднических и дачных некоммерческих объединений граждан</t>
  </si>
  <si>
    <t>05 1 00 78950</t>
  </si>
  <si>
    <t>17 3 00 70100</t>
  </si>
  <si>
    <t>Создание системы государственного, муниципального и общественного контроля в сфере жилищно-коммунального хозяйства</t>
  </si>
  <si>
    <t>17 3 00 73560</t>
  </si>
  <si>
    <t>Субсидии некоммерческим организациям (за исключением государственных (муниципальных) учреждений)</t>
  </si>
  <si>
    <t>630</t>
  </si>
  <si>
    <t>Обеспечение деятельности некоммерческой организации "Фонд капитального ремонта многоквартирных домов Архангельской области"</t>
  </si>
  <si>
    <t>17 3 00 73600</t>
  </si>
  <si>
    <t>Обеспечение мероприятий по капитальному ремонту многоквартирных домов</t>
  </si>
  <si>
    <t>51 1 00 00000</t>
  </si>
  <si>
    <t>51 1 00 09501</t>
  </si>
  <si>
    <t>Обеспечение мероприятий по переселению граждан из аварийного жилищного фонда</t>
  </si>
  <si>
    <t>51 2 00 09503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</si>
  <si>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</si>
  <si>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51 2 00 09504</t>
  </si>
  <si>
    <t>51 2 00 09603</t>
  </si>
  <si>
    <t>51 2 00 09604</t>
  </si>
  <si>
    <t>Региональная программа капитального ремонта общего имущества в многоквартирных домах, расположенных на территории Архангельской области</t>
  </si>
  <si>
    <t>56 0 00 00000</t>
  </si>
  <si>
    <t>56 0 00 09601</t>
  </si>
  <si>
    <t>17 1 00 70310</t>
  </si>
  <si>
    <t>Модернизация и капитальный ремонт объектов топливно-энергетического комплекса и жилищно-коммунального хозяйства</t>
  </si>
  <si>
    <t>17 1 00 78340</t>
  </si>
  <si>
    <t>Мероприятия, направленные на модернизацию оборудования, используемого для выработки и передачи электрической энергии, путем замены на оборудование с более высоким коэффициентом полезного действия</t>
  </si>
  <si>
    <t>17 1 00 78480</t>
  </si>
  <si>
    <t>Возмещение недополученных доходов, возникающих в результате государственного регулирования розничных цен на сжиженный газ, реализуемый для бытовых нужд населения</t>
  </si>
  <si>
    <t>17 3 00 73500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</si>
  <si>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</si>
  <si>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810</t>
  </si>
  <si>
    <t>Возмещение недополученных доходов организаций,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</t>
  </si>
  <si>
    <t>17 3 00 73510</t>
  </si>
  <si>
    <t>Возмещение недополученных доходов, возникающих в результате государственного регулирования тарифов на тепловую энергию, поставляемую населению и потребителям, приравненным к населению, на нужды теплоснабжения</t>
  </si>
  <si>
    <t>17 3 00 73520</t>
  </si>
  <si>
    <t>Возмещение недополученных доходов, возникающих в результате государственного регулирования розничных цен на топливо твердое, отпускаемое населению для нужд отопления</t>
  </si>
  <si>
    <t>17 3 00 73530</t>
  </si>
  <si>
    <t>Возмещение недополученных доходов, возникающих в результате государственного регулирования тарифов на холодную воду и водоотведение для населения и потребителей, приравненных к населению</t>
  </si>
  <si>
    <t>17 3 00 73540</t>
  </si>
  <si>
    <t>МИНИСТЕРСТВО ПРИРОДНЫХ РЕСУРСОВ И ЛЕСОПРОМЫШЛЕННОГО КОМПЛЕКСА АРХАНГЕЛЬСКОЙ ОБЛАСТИ</t>
  </si>
  <si>
    <t>045</t>
  </si>
  <si>
    <t>Общеэкономические вопросы</t>
  </si>
  <si>
    <t>Государственная программа Архангельской области "Развитие лесного комплекса Архангельской области (2014 – 2020 годы)"</t>
  </si>
  <si>
    <t>15 0 00 00000</t>
  </si>
  <si>
    <t>Подпрограмма "Обеспечение реализации государственной программы Архангельской области "Развитие лесного комплекса Архангельской области (2014 – 2020 годы)"</t>
  </si>
  <si>
    <t>15 4 00 00000</t>
  </si>
  <si>
    <t>15 4 00 70010</t>
  </si>
  <si>
    <t>Осуществление отдельных полномочий в области водных отношений</t>
  </si>
  <si>
    <t>10 3 00 51280</t>
  </si>
  <si>
    <t>Мероприятия в сфере водного хозяйства</t>
  </si>
  <si>
    <t>10 3 00 72760</t>
  </si>
  <si>
    <t>Капитальный ремонт гидротехнических сооружений</t>
  </si>
  <si>
    <t>10 3 00 78110</t>
  </si>
  <si>
    <t>Лесное хозяйство</t>
  </si>
  <si>
    <t>Подпрограмма "Обеспечение использования лесов"</t>
  </si>
  <si>
    <t>15 1 00 00000</t>
  </si>
  <si>
    <t>Осуществление отдельных полномочий в области лесных отношений</t>
  </si>
  <si>
    <t>15 1 00 51290</t>
  </si>
  <si>
    <t>15 1 00 70100</t>
  </si>
  <si>
    <t>Выполнение функций государственными органами в области лесных отношений</t>
  </si>
  <si>
    <t>15 1 00 70710</t>
  </si>
  <si>
    <t>Подпрограмма "Воспроизводство лесов"</t>
  </si>
  <si>
    <t>15 2 00 00000</t>
  </si>
  <si>
    <t>15 2 00 51290</t>
  </si>
  <si>
    <t>15 2 00 70100</t>
  </si>
  <si>
    <t>Подпрограмма "Охрана и защита лесов"</t>
  </si>
  <si>
    <t>15 3 00 00000</t>
  </si>
  <si>
    <t>15 3 00 51290</t>
  </si>
  <si>
    <t>Приобретение специализированной лесопожарной техники и оборудования</t>
  </si>
  <si>
    <t>15 3 00 51310</t>
  </si>
  <si>
    <t>15 3 00 70100</t>
  </si>
  <si>
    <t>Приобретение специализированной лесопожарной техники и оборудования (областной бюджет)</t>
  </si>
  <si>
    <t>15 3 00 R1310</t>
  </si>
  <si>
    <t>15 4 00 51290</t>
  </si>
  <si>
    <t>15 4 00 70710</t>
  </si>
  <si>
    <t>Охрана окружающей среды</t>
  </si>
  <si>
    <t>Охрана объектов растительного и животного мира и среды их обитания</t>
  </si>
  <si>
    <t>Мероприятия в сфере охраны окружающей среды, осуществляемые государственными органами</t>
  </si>
  <si>
    <t>08 2 00 70740</t>
  </si>
  <si>
    <t>Подпрограмма "Охрана окружающей среды и обеспечение экологической безопасности Архангельской области"</t>
  </si>
  <si>
    <t>10 1 00 00000</t>
  </si>
  <si>
    <t>10 1 00 70100</t>
  </si>
  <si>
    <t>Субсидии бюджетным учреждениям</t>
  </si>
  <si>
    <t>610</t>
  </si>
  <si>
    <t>Мероприятия в сфере охраны окружающей среды, осуществляемые подведомственными учреждениями</t>
  </si>
  <si>
    <t>10 1 00 70730</t>
  </si>
  <si>
    <t>10 1 00 70740</t>
  </si>
  <si>
    <t>Подпрограмма "Воспроизводство и использование природных ресурсов"</t>
  </si>
  <si>
    <t>10 2 00 00000</t>
  </si>
  <si>
    <t>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№ 52-ФЗ "О животном мире"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</si>
  <si>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10 2 00 59200</t>
  </si>
  <si>
    <t>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№ 209-ФЗ "Об охоте и о сохранении охотничьих ресурсов и о внесении изменений в отдельные законодательные акты Российской Федерации" полномочий Российской Федерации в области охраны и использования охотничьих ресурсов</t>
  </si>
  <si>
    <t>10 2 00 59700</t>
  </si>
  <si>
    <t>МИНИСТЕРСТВО ЗДРАВООХРАНЕНИЯ АРХАНГЕЛЬСКОЙ ОБЛАСТИ</t>
  </si>
  <si>
    <t>062</t>
  </si>
  <si>
    <t>Подпрограмма "Кадровое обеспечение системы здравоохранения"</t>
  </si>
  <si>
    <t>01 7 00 00000</t>
  </si>
  <si>
    <t>01 7 00 70100</t>
  </si>
  <si>
    <t>53 0 00 70100</t>
  </si>
  <si>
    <t>Профессиональная подготовка, переподготовка и повышение квалификации</t>
  </si>
  <si>
    <t>Подпрограмма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</t>
  </si>
  <si>
    <t>01 2 00 00000</t>
  </si>
  <si>
    <t>Реализация отдельных мероприятий государственной программы Российской Федерации "Развитие здравоохранения"</t>
  </si>
  <si>
    <t>01 2 00 53820</t>
  </si>
  <si>
    <t>01 2 00 70100</t>
  </si>
  <si>
    <t>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 (областной бюджет)</t>
  </si>
  <si>
    <t>01 2 00 R4020</t>
  </si>
  <si>
    <t>Подпрограмма "Оказание паллиативной помощи, в том числе детям"</t>
  </si>
  <si>
    <t>01 6 00 00000</t>
  </si>
  <si>
    <t>01 6 00 70100</t>
  </si>
  <si>
    <t>Государственная программа Архангельской области "Социальная поддержка граждан в Архангельской области (2013 – 2018 годы)"</t>
  </si>
  <si>
    <t>03 0 00 00000</t>
  </si>
  <si>
    <t>Подпрограмма "Доступная среда"</t>
  </si>
  <si>
    <t>03 8 00 00000</t>
  </si>
  <si>
    <t>Мероприятия в сфере здравоохранения</t>
  </si>
  <si>
    <t>03 8 00 70460</t>
  </si>
  <si>
    <t>Амбулаторная помощь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</si>
  <si>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</si>
  <si>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>01 1 00 00000</t>
  </si>
  <si>
    <t>01 1 00 70100</t>
  </si>
  <si>
    <t>Подпрограмма "Совершенствование системы лекарственного обеспечения, в том числе в амбулаторных условиях"</t>
  </si>
  <si>
    <t>01 8 00 00000</t>
  </si>
  <si>
    <t>Реализация отдельных полномочий в области лекарственного обеспечения</t>
  </si>
  <si>
    <t>01 8 00 51610</t>
  </si>
  <si>
    <t>Обеспечение лекарственными препаратами и медицинскими изделиями отдельных групп населения</t>
  </si>
  <si>
    <t>01 8 00 70630</t>
  </si>
  <si>
    <t>Скорая медицинская помощь</t>
  </si>
  <si>
    <t>01 2 00 70460</t>
  </si>
  <si>
    <t>Санаторно-оздоровительная помощь</t>
  </si>
  <si>
    <t>Подпрограмма "Развитие медицинской реабилитации и санаторно-курортного лечения, в том числе детей"</t>
  </si>
  <si>
    <t>01 5 00 00000</t>
  </si>
  <si>
    <t>01 5 00 70100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</si>
  <si>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</si>
  <si>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</si>
  <si>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t>
  </si>
  <si>
    <t>01 1 00 50720</t>
  </si>
  <si>
    <t>Реализация мероприятий по профилактике ВИЧ-инфекции и гепатитов B и C</t>
  </si>
  <si>
    <t>01 1 00 51790</t>
  </si>
  <si>
    <t>01 1 00 70460</t>
  </si>
  <si>
    <t>Подпрограмма "Охрана здоровья матери и ребенка"</t>
  </si>
  <si>
    <t>01 4 00 00000</t>
  </si>
  <si>
    <t>01 4 00 70100</t>
  </si>
  <si>
    <t>Обеспечение полноценным питанием беременных женщин, кормящих матерей и детей в возрасте до трех лет</t>
  </si>
  <si>
    <t>01 4 00 76040</t>
  </si>
  <si>
    <t>01 7 00 70460</t>
  </si>
  <si>
    <t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</si>
  <si>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01 8 00 51330</t>
  </si>
  <si>
    <t>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</t>
  </si>
  <si>
    <t>01 8 00 51740</t>
  </si>
  <si>
    <t>01 8 00 70460</t>
  </si>
  <si>
    <t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"Об основах охраны здоровья граждан в Российской Федерации" полномочий Российской Федерации в сфере охраны здоровья</t>
  </si>
  <si>
    <t>01 Б 00 59800</t>
  </si>
  <si>
    <t>01 Б 00 70010</t>
  </si>
  <si>
    <t>Обязательное медицинское страхование неработающего населения Архангельской области</t>
  </si>
  <si>
    <t>01 Б 00 78970</t>
  </si>
  <si>
    <t>11 1 00 70460</t>
  </si>
  <si>
    <t>53 0 00 70460</t>
  </si>
  <si>
    <t>МИНИСТЕРСТВО КУЛЬТУРЫ АРХАНГЕЛЬСКОЙ ОБЛАСТИ</t>
  </si>
  <si>
    <t>069</t>
  </si>
  <si>
    <t>Мероприятия по реализации приоритетных проектов в сфере туризма</t>
  </si>
  <si>
    <t>04 0 00 78550</t>
  </si>
  <si>
    <t>Мероприятия по обеспечению средствами туристcкой навигации</t>
  </si>
  <si>
    <t>04 0 00 78930</t>
  </si>
  <si>
    <t>Иные межбюджетные трансферты</t>
  </si>
  <si>
    <t>540</t>
  </si>
  <si>
    <t>Реализация мероприятий федеральной целевой программы "Культура России (2012 – 2018 годы")</t>
  </si>
  <si>
    <t>04 0 00 50140</t>
  </si>
  <si>
    <t>03 8 00 70100</t>
  </si>
  <si>
    <t>Формирование доступной среды для инвалидов в муниципальных районах и городских округах Архангельской области</t>
  </si>
  <si>
    <t>03 8 00 78460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</si>
  <si>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</si>
  <si>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04 0 00 51440</t>
  </si>
  <si>
    <t>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</si>
  <si>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04 0 00 51460</t>
  </si>
  <si>
    <t>Государственная поддержка муниципальных учреждений культуры</t>
  </si>
  <si>
    <t>04 0 00 51470</t>
  </si>
  <si>
    <t>Государственная поддержка лучших работников муниципальных учреждений культуры, находящихся на территории сельских поселений</t>
  </si>
  <si>
    <t>04 0 00 51480</t>
  </si>
  <si>
    <t>Резервные средства для финансового обеспечения повышения средней заработной платы отдельных категорий работников в целях реализации указов Президента Российской Федерации от 7 мая 2012 года № 597, от 1 июня 2012 года № 761, от 28 декабря 2012 года № 1688</t>
  </si>
  <si>
    <t>04 0 00 70110</t>
  </si>
  <si>
    <t>Резервные средства</t>
  </si>
  <si>
    <t>870</t>
  </si>
  <si>
    <t>Мероприятия в сфере культуры и искусства</t>
  </si>
  <si>
    <t>04 0 00 70400</t>
  </si>
  <si>
    <t>Премии и гранты</t>
  </si>
  <si>
    <t>350</t>
  </si>
  <si>
    <t>Общественно значимые культурные мероприятия в рамках проекта "ЛЮБО-ДОРОГО"</t>
  </si>
  <si>
    <t>04 0 00 78360</t>
  </si>
  <si>
    <t>Региональная программа "Повышение уровня финансовой грамотности населения и развитие финансового образования в Архангельской области в 2014 – 2019 годах"</t>
  </si>
  <si>
    <t>52 0 00 00000</t>
  </si>
  <si>
    <t>52 0 00 70100</t>
  </si>
  <si>
    <t>Другие вопросы в области культуры, кинематографии</t>
  </si>
  <si>
    <t>Осуществление переданных органам государственной власти субъектов Российской Федерации в соответствии с пунктом 1 статьи 9.1 Федерального закона от 25 июня 2002 года № 73-ФЗ "Об объектах культурного наследия (памятниках истории и культуры) народов Российской Федерации" полномочий Российской Федерации в отношении объектов культурного наследия</t>
  </si>
  <si>
    <t>04 0 00 59500</t>
  </si>
  <si>
    <t>04 0 00 70010</t>
  </si>
  <si>
    <t>МИНИСТЕРСТВО ОБРАЗОВАНИЯ И НАУКИ АРХАНГЕЛЬСКОЙ ОБЛАСТИ</t>
  </si>
  <si>
    <t>075</t>
  </si>
  <si>
    <t>Другие общегосударственные вопросы</t>
  </si>
  <si>
    <t>13</t>
  </si>
  <si>
    <t>Подпрограмма "Развитие научного потенциала Архангельской области"</t>
  </si>
  <si>
    <t>02 5 00 00000</t>
  </si>
  <si>
    <t>Мероприятия по развитию научного потенциала Архангельской области</t>
  </si>
  <si>
    <t>02 5 00 70440</t>
  </si>
  <si>
    <t>Подпрограмма "Наследие М.В. Ломоносова в социально-экономическом и социокультурном развитии Архангельской области"</t>
  </si>
  <si>
    <t>02 6 00 00000</t>
  </si>
  <si>
    <t>02 6 00 70440</t>
  </si>
  <si>
    <t>Подпрограмма "Развитие дошкольного, общего и дополнительного образования детей"</t>
  </si>
  <si>
    <t>02 1 00 00000</t>
  </si>
  <si>
    <t>02 1 00 70100</t>
  </si>
  <si>
    <t>Реализация образовательных программ</t>
  </si>
  <si>
    <t>02 1 00 78620</t>
  </si>
  <si>
    <t>Подпрограмма "Содержание, обучение, воспитание и социальное обеспечение детей-сирот и детей, оставшихся без попечения родителей, лиц из числа детей-сирот и детей, оставшихся без попечения родителей, детей с ограниченными возможностями здоровья"</t>
  </si>
  <si>
    <t>02 2 00 00000</t>
  </si>
  <si>
    <t>02 2 00 70100</t>
  </si>
  <si>
    <t>Подпрограмма "Развитие среднего профессионального образования"</t>
  </si>
  <si>
    <t>02 3 00 00000</t>
  </si>
  <si>
    <t>02 3 00 70100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</si>
  <si>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</si>
  <si>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7 00 R0970</t>
  </si>
  <si>
    <t>Приобретение объектов недвижимого имущества в государственную собственность Архангельской области</t>
  </si>
  <si>
    <t>02 3 00 70320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</si>
  <si>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</si>
  <si>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</si>
  <si>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Подпрограмма "Совершенствование системы предоставления услуг в сфере образования"</t>
  </si>
  <si>
    <t>02 4 00 00000</t>
  </si>
  <si>
    <t>02 4 00 70100</t>
  </si>
  <si>
    <t>Молодежная политика и оздоровление детей</t>
  </si>
  <si>
    <t>Подпрограмма "Развитие системы отдыха и оздоровления детей"</t>
  </si>
  <si>
    <t>03 4 00 00000</t>
  </si>
  <si>
    <t>Мероприятия по оздоровлению детей</t>
  </si>
  <si>
    <t>03 4 00 70410</t>
  </si>
  <si>
    <t>Прикладные научные исследования в области образования</t>
  </si>
  <si>
    <t>02 6 00 70100</t>
  </si>
  <si>
    <t>Другие вопросы в области образования</t>
  </si>
  <si>
    <t>02 1 00 70110</t>
  </si>
  <si>
    <t>Мероприятия в области образования</t>
  </si>
  <si>
    <t>02 1 00 70450</t>
  </si>
  <si>
    <t>02 2 00 70110</t>
  </si>
  <si>
    <t>02 2 00 70450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</si>
  <si>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нарушений в развитии (за исключением субсидий местным бюджетам)</t>
  </si>
  <si>
    <t>02 2 00 70620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</si>
  <si>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нарушений в развитии</t>
  </si>
  <si>
    <t>02 2 00 78450</t>
  </si>
  <si>
    <t>02 3 00 70110</t>
  </si>
  <si>
    <t>02 3 00 70450</t>
  </si>
  <si>
    <t>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№ 273-ФЗ "Об образовании в Российской Федерации" полномочий Российской Федерации в сфере образования</t>
  </si>
  <si>
    <t>02 4 00 59900</t>
  </si>
  <si>
    <t>02 4 00 70010</t>
  </si>
  <si>
    <t>02 4 00 70450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</si>
  <si>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</si>
  <si>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02 4 00 78390</t>
  </si>
  <si>
    <t>Подпрограмма "Право быть равным"</t>
  </si>
  <si>
    <t>03 9 00 00000</t>
  </si>
  <si>
    <t>03 9 00 70450</t>
  </si>
  <si>
    <t>Подпрограмма "Профилактика незаконного потребления наркотических средств и психотропных веществ, реабилитация и ресоциализация потребителей наркотических средств и психотропных веществ"</t>
  </si>
  <si>
    <t>08 1 00 00000</t>
  </si>
  <si>
    <t>08 1 00 70450</t>
  </si>
  <si>
    <t>08 2 00 70450</t>
  </si>
  <si>
    <t>Подпрограмма "Профилактика экстремизма и терроризма в Архангельской области"</t>
  </si>
  <si>
    <t>08 4 00 00000</t>
  </si>
  <si>
    <t>08 4 00 70100</t>
  </si>
  <si>
    <t>Подпрограмма "Гражданско-патриотическое воспитание граждан Российской Федерации и допризывная подготовка молодежи в Архангельской области (2014 – 2020 годы)"</t>
  </si>
  <si>
    <t>11 3 00 00000</t>
  </si>
  <si>
    <t>11 3 00 70450</t>
  </si>
  <si>
    <t>52 0 00 70450</t>
  </si>
  <si>
    <t>Охрана семьи и детства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</si>
  <si>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</si>
  <si>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02 1 00 78330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</si>
  <si>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</si>
  <si>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02 1 00 78650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</si>
  <si>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</si>
  <si>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02 2 00 50820</t>
  </si>
  <si>
    <t>Выплата единовременного пособия при всех формах устройства детей, лишенных родительского попечения, в семью</t>
  </si>
  <si>
    <t>02 2 00 52600</t>
  </si>
  <si>
    <t>Публичные нормативные социальные выплаты гражданам</t>
  </si>
  <si>
    <t>310</t>
  </si>
  <si>
    <t>Выплаты приемной семье на содержание подопечных детей</t>
  </si>
  <si>
    <t>02 2 00 77280</t>
  </si>
  <si>
    <t>Оплата труда приемного родителя</t>
  </si>
  <si>
    <t>02 2 00 77290</t>
  </si>
  <si>
    <t>Выплаты семьям опекунов на содержание подопечных детей</t>
  </si>
  <si>
    <t>02 2 00 77300</t>
  </si>
  <si>
    <t>Обеспечение мер социальной поддержки детей-сирот и детей, оставшихся без попечения родителей, по оплате жилого помещения и коммунальных услуг, а также в виде единовременной денежной выплаты на ремонт жилых помещений, находящихся в собственности детей-сирот и детей, оставшихся без попечения родителей</t>
  </si>
  <si>
    <t>02 2 00 77410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</si>
  <si>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социального найма по неисполненным судебным решениям, вступившим в законную силу до 1 января 2013 года</t>
  </si>
  <si>
    <t>02 2 00 78640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</si>
  <si>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</si>
  <si>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02 2 00 R0820</t>
  </si>
  <si>
    <t>Другие вопросы в области социальной политики</t>
  </si>
  <si>
    <t>Осуществление государственных полномочий по организации и осуществлению деятельности по опеке и попечительству</t>
  </si>
  <si>
    <t>02 2 00 78660</t>
  </si>
  <si>
    <t>МИНИСТЕРСТВО АГРОПРОМЫШЛЕННОГО КОМПЛЕКСА И ТОРГОВЛИ АРХАНГЕЛЬСКОЙ ОБЛАСТИ</t>
  </si>
  <si>
    <t>083</t>
  </si>
  <si>
    <t>Государственная программа Архангельской области "Развитие торговли в Архангельской области (2014 – 2020 годы)"</t>
  </si>
  <si>
    <t>14 0 00 00000</t>
  </si>
  <si>
    <t>Осуществление государственных полномочий по формированию торгового реестра</t>
  </si>
  <si>
    <t>14 0 00 78700</t>
  </si>
  <si>
    <t>05 3 00 00000</t>
  </si>
  <si>
    <t>Проведение Всероссийской сельскохозяйственной переписи в 2016 году</t>
  </si>
  <si>
    <t>05 3 00 53910</t>
  </si>
  <si>
    <t>Сельское хозяйство и рыболовство</t>
  </si>
  <si>
    <t>Возмещение части затрат на приобретение элитных семян</t>
  </si>
  <si>
    <t>05 1 00 50310</t>
  </si>
  <si>
    <t>Возмещение части затрат на приобретение семян с учетом доставки в районы Крайнего Севера и приравненные к ним местности</t>
  </si>
  <si>
    <t>05 1 00 50360</t>
  </si>
  <si>
    <t>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</si>
  <si>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05 1 00 50400</t>
  </si>
  <si>
    <t>Оказание несвязанной поддержки сельскохозяйственным товаропроизводителям в области растениеводства</t>
  </si>
  <si>
    <t>05 1 00 50410</t>
  </si>
  <si>
    <t>Поддержка племенного животноводства</t>
  </si>
  <si>
    <t>05 1 00 50420</t>
  </si>
  <si>
    <t>Субсидии на 1 килограмм реализованного и (или) отгруженного на собственную переработку молока</t>
  </si>
  <si>
    <t>05 1 00 50430</t>
  </si>
  <si>
    <t>Возмещение части затрат по наращиванию поголовья северных оленей, маралов и мясных табунных лошадей</t>
  </si>
  <si>
    <t>05 1 00 50450</t>
  </si>
  <si>
    <t>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</si>
  <si>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05 1 00 50490</t>
  </si>
  <si>
    <t>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</t>
  </si>
  <si>
    <t>05 1 00 54390</t>
  </si>
  <si>
    <t>Поддержка племенного крупного рогатого скота молочного направления</t>
  </si>
  <si>
    <t>05 1 00 54460</t>
  </si>
  <si>
    <t>Субсидии на животноводческую продукцию</t>
  </si>
  <si>
    <t>05 1 00 72210</t>
  </si>
  <si>
    <t>Мероприятия в области сельскохозяйственного производства</t>
  </si>
  <si>
    <t>05 1 00 72250</t>
  </si>
  <si>
    <t>Субсидии на закупку сельскохозяйственной продукции у населения</t>
  </si>
  <si>
    <t>05 1 00 72270</t>
  </si>
  <si>
    <t>Субсидии на поддержку овощеводства защищенного грунта</t>
  </si>
  <si>
    <t>05 1 00 72290</t>
  </si>
  <si>
    <t>Субсидии на компенсацию части затрат на газ, использованный на производство овощей защищенного грунта тепличными хозяйствами</t>
  </si>
  <si>
    <t>05 1 00 72330</t>
  </si>
  <si>
    <t>Выполнение научно-исследовательских и опытно-конструкторских работ в сельском хозяйстве</t>
  </si>
  <si>
    <t>05 1 00 72340</t>
  </si>
  <si>
    <t>Субсидии на компенсацию части затрат по приобретению средств химизации</t>
  </si>
  <si>
    <t>05 1 00 72360</t>
  </si>
  <si>
    <t>Субсидии на компенсацию части затрат на известкование кислых почв</t>
  </si>
  <si>
    <t>05 1 00 72380</t>
  </si>
  <si>
    <t>Возмещение части затрат на приобретение элитных семян (областной бюджет)</t>
  </si>
  <si>
    <t>05 1 00 R0310</t>
  </si>
  <si>
    <t>Возмещение части затрат на приобретение семян с учетом доставки в районы Крайнего Севера и приравненные к ним местности (областной бюджет)</t>
  </si>
  <si>
    <t>05 1 00 R0360</t>
  </si>
  <si>
    <t>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 (областной бюджет)</t>
  </si>
  <si>
    <t>05 1 00 R0380</t>
  </si>
  <si>
    <t>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 (областной бюджет)</t>
  </si>
  <si>
    <t>05 1 00 R0390</t>
  </si>
  <si>
    <t>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 (областной бюджет)</t>
  </si>
  <si>
    <t>05 1 00 R0400</t>
  </si>
  <si>
    <t>Оказание несвязанной поддержки сельскохозяйственным товаропроизводителям в области растениеводства (областной бюджет)</t>
  </si>
  <si>
    <t>05 1 00 R0410</t>
  </si>
  <si>
    <t>Поддержка племенного животноводства (областной бюджет)</t>
  </si>
  <si>
    <t>05 1 00 R0420</t>
  </si>
  <si>
    <t>Субсидии на 1 килограмм реализованного и (или) отгруженного на собственную переработку молока (областной бюджет)</t>
  </si>
  <si>
    <t>05 1 00 R0430</t>
  </si>
  <si>
    <t>Возмещение части затрат по наращиванию поголовья северных оленей, маралов и мясных табунных лошадей (областной бюджет)</t>
  </si>
  <si>
    <t>05 1 00 R0450</t>
  </si>
  <si>
    <t>Возмещение части процентной ставки по краткосрочным кредитам (займам) на развитие животноводства, переработки и реализации продукции животноводства (областной бюджет)</t>
  </si>
  <si>
    <t>05 1 00 R0470</t>
  </si>
  <si>
    <t>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 (областной бюджет)</t>
  </si>
  <si>
    <t>05 1 00 R0480</t>
  </si>
  <si>
    <t>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 (областной бюджет)</t>
  </si>
  <si>
    <t>05 1 00 R0490</t>
  </si>
  <si>
    <t>Возмещение части процентной ставки по инвестиционным кредитам на строительство и реконструкцию объектов мясного скотоводства (областной бюджет)</t>
  </si>
  <si>
    <t>05 1 00 R0520</t>
  </si>
  <si>
    <t>Поддержка начинающих фермеров (областной бюджет)</t>
  </si>
  <si>
    <t>05 1 00 R0530</t>
  </si>
  <si>
    <t>Развитие семейных животноводческих ферм (областной бюджет)</t>
  </si>
  <si>
    <t>05 1 00 R0540</t>
  </si>
  <si>
    <t>Возмещение части процентной ставки по долгосрочным, среднесрочным и краткосрочным кредитам, взятым малыми формами хозяйствования (областной бюджет)</t>
  </si>
  <si>
    <t>05 1 00 R0550</t>
  </si>
  <si>
    <t>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 (областной бюджет)</t>
  </si>
  <si>
    <t>05 1 00 R0560</t>
  </si>
  <si>
    <t>Грантовая поддержка сельскохозяйственных потребительских кооперативов для развития материально-технической базы (областной бюджет)</t>
  </si>
  <si>
    <t>05 1 00 R4380</t>
  </si>
  <si>
    <t>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 (областной бюджет)</t>
  </si>
  <si>
    <t>05 1 00 R4390</t>
  </si>
  <si>
    <t>Возмещение части прямых понесенных затрат на создание и модернизацию объектов животноводческих комплексов молочного направления (молочных ферм) (областной бюджет)</t>
  </si>
  <si>
    <t>05 1 00 R4420</t>
  </si>
  <si>
    <t>Возмещение части процентной ставки по краткосрочным кредитам (займам) на развитие молочного скотоводства (областной бюджет)</t>
  </si>
  <si>
    <t>05 1 00 R4430</t>
  </si>
  <si>
    <t>Возмещение части процентной ставки по инвестиционным кредитам (займам) на строительство и реконструкцию объектов для молочного скотоводства (областной бюджет)</t>
  </si>
  <si>
    <t>05 1 00 R4440</t>
  </si>
  <si>
    <t>Поддержка племенного крупного рогатого скота молочного направления (областной бюджет)</t>
  </si>
  <si>
    <t>05 1 00 R4460</t>
  </si>
  <si>
    <t>Возмещение части процентной ставки по инвестиционным кредитам (займам) на строительство и реконструкцию селекционно-генетических и селекционно-семеноводческих центров в подотраслях животноводства и растениеводства (областной бюджет)</t>
  </si>
  <si>
    <t>05 1 00 R4490</t>
  </si>
  <si>
    <t>Возмещение части процентной ставки по краткосрочным кредитам (займам) на переработку продукции растениеводства и животноводства (областной бюджет)</t>
  </si>
  <si>
    <t>05 1 00 R4500</t>
  </si>
  <si>
    <t>Подпрограмма "Развитие рыбохозяйственного комплекса Архангельской области"</t>
  </si>
  <si>
    <t>05 2 00 00000</t>
  </si>
  <si>
    <t>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№ 52-ФЗ "О животном мире" полномочий Российской Федерации в области организации, регулирования и охраны водных биологических ресурсов"</t>
  </si>
  <si>
    <t>05 2 00 59100</t>
  </si>
  <si>
    <t>Гранты на развитие организаций, крестьянских (фермерских) хозяйств, индивидуальных предпринимателей, осуществляющих товарное рыбоводство</t>
  </si>
  <si>
    <t>05 2 00 72750</t>
  </si>
  <si>
    <t>Возмещение части затрат на уплату процентов по кредитам, полученным в российских кредитных организациях, на развитие аквакультуры (рыбоводство) (областной бюджет)</t>
  </si>
  <si>
    <t>05 2 00 R3960</t>
  </si>
  <si>
    <t>Возмещение рыбохозяйственным организациям и индивидуальным предпринимателям части затрат на уплату процентов по инвестиционным кредитам, полученным в российских кредитных организациях, на строительство и модернизацию объектов рыбоперерабатывающей инфраструктуры, объектов хранения рыбной продукции сроком до 5 лет (областной бюджет)</t>
  </si>
  <si>
    <t>05 2 00 R4280</t>
  </si>
  <si>
    <t>05 3 00 70010</t>
  </si>
  <si>
    <t>05 3 00 70100</t>
  </si>
  <si>
    <t>Подпрограмма "Развитие мелиорации земель сельскохозяйственного назначения Архангельской области"</t>
  </si>
  <si>
    <t>05 4 00 00000</t>
  </si>
  <si>
    <t>Реализация мероприятий федеральной целевой программы «Развитие мелиорации земель сельскохозяйственного назначения России на 2014 – 2020 годы» (областной бюджет)</t>
  </si>
  <si>
    <t>05 4 00 R0760</t>
  </si>
  <si>
    <t>Создание условий для обеспечения поселений и жителей городских округов услугами торговли</t>
  </si>
  <si>
    <t>14 0 00 78270</t>
  </si>
  <si>
    <t>МИНИСТЕРСТВО ФИНАНСОВ АРХАНГЕЛЬСКОЙ ОБЛАСТИ</t>
  </si>
  <si>
    <t>090</t>
  </si>
  <si>
    <t>Государственная программа Архангельской области "Управление государственными финансами и государственным долгом Архангельской области (2014 – 2017 годы)"</t>
  </si>
  <si>
    <t>22 0 00 00000</t>
  </si>
  <si>
    <t>Подпрограмма "Организация и обеспечение бюджетного процесса и развитие информационных систем управления финансами в Архангельской области"</t>
  </si>
  <si>
    <t>22 1 00 00000</t>
  </si>
  <si>
    <t>Осуществление государственных полномочий по созданию комиссий по делам несовершеннолетних и защите их прав</t>
  </si>
  <si>
    <t>22 1 00 78670</t>
  </si>
  <si>
    <t>Осуществление государственных полномочий в сфере административных правонарушений</t>
  </si>
  <si>
    <t>22 1 00 78680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</si>
  <si>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</si>
  <si>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</si>
  <si>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22 1 00 51200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</si>
  <si>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</si>
  <si>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22 1 00 70010</t>
  </si>
  <si>
    <t>Прочие выплаты по обязательствам государства</t>
  </si>
  <si>
    <t>22 1 00 70030</t>
  </si>
  <si>
    <t>Резервные фонды</t>
  </si>
  <si>
    <t>Резервный фонд Правительства Архангельской области</t>
  </si>
  <si>
    <t>67 0 00 00000</t>
  </si>
  <si>
    <t>67 0 00 71400</t>
  </si>
  <si>
    <t>Специальные расходы</t>
  </si>
  <si>
    <t>880</t>
  </si>
  <si>
    <t>Мероприятия в сфере общегосударственных вопросов, осуществляемые государственными органами</t>
  </si>
  <si>
    <t>52 0 00 70480</t>
  </si>
  <si>
    <t>Резервные средства для финансового обеспечения повышения оплаты труда работников государственных и муниципальных учреждений Архангельской области, органов государственной власти и местного самоуправления Архангельской области с 1 октября 2016 года на 5,5 процента</t>
  </si>
  <si>
    <t>70 0 00 00000</t>
  </si>
  <si>
    <t>70 0 00 71410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</si>
  <si>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</si>
  <si>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</si>
  <si>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</si>
  <si>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22 1 00 51180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</si>
  <si>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</si>
  <si>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</si>
  <si>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государственным долгом Архангельской области"</t>
  </si>
  <si>
    <t>22 2 00 00000</t>
  </si>
  <si>
    <t>Обслуживание государственного долга</t>
  </si>
  <si>
    <t>22 2 00 71750</t>
  </si>
  <si>
    <t>Обслуживание государственного (муниципального) долга</t>
  </si>
  <si>
    <t>700</t>
  </si>
  <si>
    <t>Обслуживание государственного долга субъекта Российской Федерации</t>
  </si>
  <si>
    <t>720</t>
  </si>
  <si>
    <t>из них: уплата процентов за рассрочку в соответствии с Дополнительным соглашением № 4 к Соглашению от 15 декабря 2010 года № 01-01-06/06-539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</si>
  <si>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уплата процентов за рассрочку в соответствии с Дополнительным соглашением № 2 к Соглашению от 16 апреля 2010 года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</si>
  <si>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уплата процентов за рассрочку в соответствии с Дополнительным соглашением № 2 к Соглашению от 17 мая 2011 года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</si>
  <si>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уплата процентов за рассрочку в соответствии с Дополнительным соглашением № 2 к Соглашению от 28 сентября 2011 года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</si>
  <si>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</si>
  <si>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</si>
  <si>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</si>
  <si>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"Поддержание устойчивого исполнения бюджетов муниципальных образований Архангельской области"</t>
  </si>
  <si>
    <t>22 3 00 00000</t>
  </si>
  <si>
    <t>Выравнивание бюджетной обеспеченности поселений</t>
  </si>
  <si>
    <t>22 3 00 78010</t>
  </si>
  <si>
    <t>Дотации</t>
  </si>
  <si>
    <t>510</t>
  </si>
  <si>
    <t>Выравнивание бюджетной обеспеченности муниципальных районов (городских округов)</t>
  </si>
  <si>
    <t>22 3 00 78020</t>
  </si>
  <si>
    <t>Иные дотации</t>
  </si>
  <si>
    <t>Дотации, связанные с особым режимом безопасного функционирования закрытых административно-территориальных образований</t>
  </si>
  <si>
    <t>22 3 00 50100</t>
  </si>
  <si>
    <t>Поддержка мер по обеспечению сбалансированности местных бюджетов</t>
  </si>
  <si>
    <t>22 3 00 78030</t>
  </si>
  <si>
    <t>Прочие межбюджетные трансферты общего характера</t>
  </si>
  <si>
    <t>Доставка муки и лекарственных средств в районы Крайнего Севера и приравненные к ним местности с ограниченными сроками завоза грузов</t>
  </si>
  <si>
    <t>22 1 00 78220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</si>
  <si>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</si>
  <si>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22 1 00 78240</t>
  </si>
  <si>
    <t>Софинансирование вопросов местного значения</t>
  </si>
  <si>
    <t>22 3 00 78230</t>
  </si>
  <si>
    <t>МИНИСТЕРСТВО ТРАНСПОРТА АРХАНГЕЛЬСКОЙ ОБЛАСТИ</t>
  </si>
  <si>
    <t>104</t>
  </si>
  <si>
    <t>Государственная программа Архангельской области "Развитие транспортной системы Архангельской области (2014 – 2020 годы)"</t>
  </si>
  <si>
    <t>19 0 00 00000</t>
  </si>
  <si>
    <t>Подпрограмма "Создание условий для реализации государственной программы и осуществления иных расходов"</t>
  </si>
  <si>
    <t>19 5 00 00000</t>
  </si>
  <si>
    <t>Уплата членского взноса в "Некоммерческое партнерство по координации использования Северного морского пути"</t>
  </si>
  <si>
    <t>19 5 00 73280</t>
  </si>
  <si>
    <t>Транспорт</t>
  </si>
  <si>
    <t>Подпрограмма "Проведение сбалансированной государственной тарифной политики на транспорте"</t>
  </si>
  <si>
    <t>19 1 00 00000</t>
  </si>
  <si>
    <t>Субсидии организациям воздушного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</t>
  </si>
  <si>
    <t>19 1 00 73010</t>
  </si>
  <si>
    <t>Субсидии организациям водного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</t>
  </si>
  <si>
    <t>19 1 00 73020</t>
  </si>
  <si>
    <t>Субсидии организациям железнодорожного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 в пригородном и межмуниципальном сообщении</t>
  </si>
  <si>
    <t>19 1 00 73030</t>
  </si>
  <si>
    <t>Компенсация организациям железнодорожного транспорта потерь в доходах, возникающих в результате предоставления 50-процентной скидки на проезд железнодорожным транспортом общего пользования в поездах пригородного сообщения учащимся и воспитанникам образовательных организаций старше семи лет, студентам (курсантам), обучающимся по очной форме обучения в профессиональных образовательных организациях и образовательных организациях высшего образования</t>
  </si>
  <si>
    <t>19 1 00 73040</t>
  </si>
  <si>
    <t>Подпрограмма "Развитие общественного пассажирского транспорта и транспортной инфраструктуры Архангельской области"</t>
  </si>
  <si>
    <t>19 2 00 00000</t>
  </si>
  <si>
    <t>Мероприятия в сфере общественного пассажирского транспорта и транспортной инфраструктуры</t>
  </si>
  <si>
    <t>19 2 00 70750</t>
  </si>
  <si>
    <t>19 5 00 70010</t>
  </si>
  <si>
    <t>Подпрограмма "Развитие и совершенствование сети автомобильных дорог общего пользования регионального значения"</t>
  </si>
  <si>
    <t>19 3 00 00000</t>
  </si>
  <si>
    <t>19 3 00 70300</t>
  </si>
  <si>
    <t>Подпрограмма "Улучшение эксплуатационного состояния автомобильных дорог общего пользования регионального значения за счет ремонта, капитального ремонта и содержания"</t>
  </si>
  <si>
    <t>19 4 00 00000</t>
  </si>
  <si>
    <t>Капитальный ремонт, ремонт и содержание региональных автомобильных дорог</t>
  </si>
  <si>
    <t>19 4 00 73210</t>
  </si>
  <si>
    <t>19 5 00 70100</t>
  </si>
  <si>
    <t>Мероприятия в сфере дорожного хозяйства</t>
  </si>
  <si>
    <t>19 5 00 70720</t>
  </si>
  <si>
    <t>Уплата земельного налога за участки строящихся автомобильных дорог и налога на имущество автомобильных дорог</t>
  </si>
  <si>
    <t>19 5 00 73270</t>
  </si>
  <si>
    <t>Подпрограмма "Повышение безопасности дорожного движения в Архангельской области"</t>
  </si>
  <si>
    <t>19 6 00 00000</t>
  </si>
  <si>
    <t>Выявление и сокращение количества мест концентрации дорожно-транспортных происшествий на дорогах Архангельской области</t>
  </si>
  <si>
    <t>19 6 00 73240</t>
  </si>
  <si>
    <t>24 0 00 70300</t>
  </si>
  <si>
    <t>Непрограммные расходы в области дорожного хозяйства</t>
  </si>
  <si>
    <t>68 0 00 00000</t>
  </si>
  <si>
    <t>Резерв средств на ликвидацию потерь дорожного хозяйства от осенне-весенних паводков и неблагоприятных последствий природного и техногенного характера</t>
  </si>
  <si>
    <t>68 0 00 73230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</si>
  <si>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</si>
  <si>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68 0 00 78120</t>
  </si>
  <si>
    <t>Связь и информатика</t>
  </si>
  <si>
    <t>МИНИСТЕРСТВО ЭКОНОМИЧЕСКОГО РАЗВИТИЯ АРХАНГЕЛЬСКОЙ ОБЛАСТИ</t>
  </si>
  <si>
    <t>138</t>
  </si>
  <si>
    <t>Государственная программа Архангельской области "Экономическое развитие и инвестиционная деятельность в Архангельской области (2014 – 2020 годы)"</t>
  </si>
  <si>
    <t>12 0 00 00000</t>
  </si>
  <si>
    <t>Подпрограмма "Совершенствование системы управления экономическим развитием Архангельской области"</t>
  </si>
  <si>
    <t>12 3 00 00000</t>
  </si>
  <si>
    <t>12 3 00 70010</t>
  </si>
  <si>
    <t>12 3 00 70030</t>
  </si>
  <si>
    <t>Подпрограмма "Формирование благоприятной среды для развития инвестиционной деятельности"</t>
  </si>
  <si>
    <t>12 1 00 00000</t>
  </si>
  <si>
    <t>Мероприятия в сфере повышения инвестиционной привлекательности</t>
  </si>
  <si>
    <t>12 1 00 72860</t>
  </si>
  <si>
    <t>Реализация комплексных инвестиционных проектов по развитию инновационных территориальных кластеров (областной бюджет)</t>
  </si>
  <si>
    <t>12 1 00 R3890</t>
  </si>
  <si>
    <t>Подпрограмма "Развитие субъектов малого и среднего предпринимательства в Архангельской области"</t>
  </si>
  <si>
    <t>12 2 00 00000</t>
  </si>
  <si>
    <t>12 2 00 70100</t>
  </si>
  <si>
    <t>Государственная поддержка малого и среднего предпринимательства</t>
  </si>
  <si>
    <t>12 2 00 72910</t>
  </si>
  <si>
    <t>Государственная поддержка малого и среднего предпринимательства, включая крестьянские (фермерские) хозяйства (областной бюджет)</t>
  </si>
  <si>
    <t>12 2 00 R0640</t>
  </si>
  <si>
    <t>АГЕНТСТВО ПО ДЕЛАМ АРХИВОВ АРХАНГЕЛЬСКОЙ ОБЛАСТИ</t>
  </si>
  <si>
    <t>154</t>
  </si>
  <si>
    <t>Государственная программа Архангельской области "Эффективное государственное управление в Архангельской области (2014 – 2018 годы)"</t>
  </si>
  <si>
    <t>23 0 00 00000</t>
  </si>
  <si>
    <t>Подпрограмма "Развитие отдельных направлений системы государственного управления Архангельской области"</t>
  </si>
  <si>
    <t>23 5 00 00000</t>
  </si>
  <si>
    <t>23 5 00 70010</t>
  </si>
  <si>
    <t>23 5 00 70100</t>
  </si>
  <si>
    <t>МИНИСТЕРСТВО ТРУДА, ЗАНЯТОСТИ И СОЦИАЛЬНОГО РАЗВИТИЯ АРХАНГЕЛЬСКОЙ ОБЛАСТИ</t>
  </si>
  <si>
    <t>156</t>
  </si>
  <si>
    <t>Государственная программа Архангельской области "Содействие занятости населения Архангельской области, улучшение условий и охраны труда (2014 – 2020 годы)"</t>
  </si>
  <si>
    <t>07 0 00 00000</t>
  </si>
  <si>
    <t>Подпрограмма "Улучшение условий и охраны труда в Архангельской области (2014 – 2020 годы)"</t>
  </si>
  <si>
    <t>07 2 00 00000</t>
  </si>
  <si>
    <t>Осуществление государственных полномочий в сфере охраны труда</t>
  </si>
  <si>
    <t>07 2 00 78710</t>
  </si>
  <si>
    <t>Мероприятия в сфере общегосударственных вопросов, осуществляемые подведомственными учреждениями</t>
  </si>
  <si>
    <t>52 0 00 70490</t>
  </si>
  <si>
    <t>Подпрограмма "Активная политика занятости и социальная поддержка безработных граждан (2014 – 2020 годы)"</t>
  </si>
  <si>
    <t>07 1 00 00000</t>
  </si>
  <si>
    <t>07 1 00 70010</t>
  </si>
  <si>
    <t>07 1 00 70030</t>
  </si>
  <si>
    <t>07 1 00 70100</t>
  </si>
  <si>
    <t>Реализация мероприятий активной политики в сфере занятости населения</t>
  </si>
  <si>
    <t>07 1 00 72020</t>
  </si>
  <si>
    <t>Подпрограмма "Повышение мобильности трудовых ресурсов (2015 – 2017 годы)"</t>
  </si>
  <si>
    <t>07 5 00 00000</t>
  </si>
  <si>
    <t>Софинансирование региональных программ повышения мобильности трудовых ресурсов (областной бюджет)</t>
  </si>
  <si>
    <t>07 5 00 R2380</t>
  </si>
  <si>
    <t>03 4 00 70100</t>
  </si>
  <si>
    <t>Мероприятия по проведению оздоровительной кампании детей</t>
  </si>
  <si>
    <t>03 4 00 78320</t>
  </si>
  <si>
    <t>Пенсионное обеспечение</t>
  </si>
  <si>
    <t>Подпрограмма "Меры социальной поддержки отдельным категориям граждан, проживающим на территории Архангельской области"</t>
  </si>
  <si>
    <t>03 2 00 00000</t>
  </si>
  <si>
    <t>Доплаты к пенсиям государственных служащих Архангельской области</t>
  </si>
  <si>
    <t>03 2 00 77050</t>
  </si>
  <si>
    <t>Социальное обслуживание населения</t>
  </si>
  <si>
    <t>Подпрограмма "Организация работы по социальному обслуживанию граждан и социальной защите населения в Архангельской области"</t>
  </si>
  <si>
    <t>03 1 00 00000</t>
  </si>
  <si>
    <t>03 1 00 70100</t>
  </si>
  <si>
    <t>03 1 00 70110</t>
  </si>
  <si>
    <t>Мероприятия в сфере социальной политики, осуществляемые государственными органами</t>
  </si>
  <si>
    <t>03 1 00 70540</t>
  </si>
  <si>
    <t>Ежемесячные вознаграждения лицам, организовавшим приемные семьи для граждан пожилого возраста и инвалидов</t>
  </si>
  <si>
    <t>03 1 00 77040</t>
  </si>
  <si>
    <t>Подпрограмма "Семья и дети в Архангельской области"</t>
  </si>
  <si>
    <t>03 5 00 00000</t>
  </si>
  <si>
    <t>03 5 00 70100</t>
  </si>
  <si>
    <t>Подпрограмма "Повышение качества жизни граждан пожилого возраста и инвалидов в Архангельской области"</t>
  </si>
  <si>
    <t>03 6 00 00000</t>
  </si>
  <si>
    <t>03 6 00 70100</t>
  </si>
  <si>
    <t>03 9 00 70100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</si>
  <si>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– 1945 годов"</t>
  </si>
  <si>
    <t>03 2 00 51340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</si>
  <si>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</si>
  <si>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03 2 00 51350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</si>
  <si>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</si>
  <si>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03 2 00 51370</t>
  </si>
  <si>
    <t>Выплата региональной доплаты к пенсии</t>
  </si>
  <si>
    <t>03 2 00 51530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</si>
  <si>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</si>
  <si>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03 2 00 52200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</si>
  <si>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</t>
  </si>
  <si>
    <t>03 2 00 52400</t>
  </si>
  <si>
    <t>Оплата жилищно-коммунальных услуг отдельным категориям граждан</t>
  </si>
  <si>
    <t>03 2 00 52500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</si>
  <si>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</si>
  <si>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03 2 00 52800</t>
  </si>
  <si>
    <t>03 2 00 70540</t>
  </si>
  <si>
    <t>Выплата региональной доплаты к пенсии за счет средств областного бюджета</t>
  </si>
  <si>
    <t>03 2 00 70560</t>
  </si>
  <si>
    <t>Выплата социального пособия на погребение и возмещение расходов по гарантированному перечню услуг по погребению</t>
  </si>
  <si>
    <t>03 2 00 70570</t>
  </si>
  <si>
    <t>Предоставление гражданам субсидий на оплату жилого помещения и коммунальных услуг (за исключением субвенций местным бюджетам)</t>
  </si>
  <si>
    <t>03 2 00 70580</t>
  </si>
  <si>
    <t>Обеспечение мер социальной поддержки ветеранов труда (за исключением публичных нормативных обязательств)</t>
  </si>
  <si>
    <t>03 2 00 70590</t>
  </si>
  <si>
    <t>Обеспечение мер социальной поддержки тружеников тыла (за исключением публичных нормативных обязательств)</t>
  </si>
  <si>
    <t>03 2 00 70600</t>
  </si>
  <si>
    <t>Обеспечение мер социальной поддержки реабилитированных лиц и лиц, признанных пострадавшими от политических репрессий (за исключением публичных нормативных обязательств)</t>
  </si>
  <si>
    <t>03 2 00 70610</t>
  </si>
  <si>
    <t>Обеспечение мер социальной поддержки в соответствии с областным законом от 29 ноября 2005 года № 119-7-ОЗ "О социальной поддержке инвалидов в Архангельской области" (за исключением публичных нормативных обязательств)</t>
  </si>
  <si>
    <t>03 2 00 77060</t>
  </si>
  <si>
    <t>Обеспечение мер социальной поддержки многодетных семей (за исключением публичных нормативных обязательств)</t>
  </si>
  <si>
    <t>03 2 00 77070</t>
  </si>
  <si>
    <t>Государственная социальная помощь</t>
  </si>
  <si>
    <t>03 2 00 77080</t>
  </si>
  <si>
    <t>Ежемесячные денежные выплаты ветеранам труда</t>
  </si>
  <si>
    <t>03 2 00 77120</t>
  </si>
  <si>
    <t>Ежемесячные денежные выплаты труженикам тыла</t>
  </si>
  <si>
    <t>03 2 00 77130</t>
  </si>
  <si>
    <t>Ежемесячные денежные выплаты реабилитированным лицам и лицам, признанным пострадавшими от политических репрессий</t>
  </si>
  <si>
    <t>03 2 00 77140</t>
  </si>
  <si>
    <t>Ежемесячные денежные выплаты на приобретение топлива в соответствии с областным законом от 29 ноября 2005 года № 119-7-ОЗ "О социальной поддержке инвалидов в Архангельской области"</t>
  </si>
  <si>
    <t>03 2 00 77160</t>
  </si>
  <si>
    <t>Выплаты гражданам, имеющим награды Архангельской области, в соответствии с областным законом от 23 сентября 2008 года № 567-29-ОЗ "О наградах в Архангельской области"</t>
  </si>
  <si>
    <t>03 2 00 77170</t>
  </si>
  <si>
    <t>Публичные нормативные выплаты гражданам несоциального характера</t>
  </si>
  <si>
    <t>330</t>
  </si>
  <si>
    <t>Обеспечение мер социальной поддержки многодетных семей в денежной форме</t>
  </si>
  <si>
    <t>03 2 00 77180</t>
  </si>
  <si>
    <t>Ежемесячные пособия писателям-профессионалам в соответствии с постановлением администрации Архангельской области от 15 августа 1995 года № 308 "О назначении ежемесячных пособий писателям-профессионалам"</t>
  </si>
  <si>
    <t>03 2 00 77200</t>
  </si>
  <si>
    <t>Ежемесячное материальное обеспечение граждан за особые заслуги в развитии сферы культуры Архангельской области в соответствии с распоряжением главы администрации Архангельской области от 20 мая 1996 года № 292р</t>
  </si>
  <si>
    <t>03 2 00 77210</t>
  </si>
  <si>
    <t>Дополнительное ежемесячное материальное обеспечение граждан, имеющих особые заслуги в развитии социальной сферы Архангельской области</t>
  </si>
  <si>
    <t>03 2 00 77220</t>
  </si>
  <si>
    <t>Дополнительное ежемесячное материальное обеспечение граждан, имеющих государственные награды</t>
  </si>
  <si>
    <t>03 2 00 77230</t>
  </si>
  <si>
    <t>Доплаты инвалидам боевых действий в Афганистане, на Северном Кавказе и членам семей погибших (умерших) военнослужащих</t>
  </si>
  <si>
    <t>03 2 00 77240</t>
  </si>
  <si>
    <t>Ежемесячные денежные выплаты лицам, награжденным орденом "Родительская слава", в соответствии с областным законом от 13 февраля 2012 года № 420-28-ОЗ "О дополнительных мерах социальной поддержки лиц, награжденных медалью ордена или орденом "Родительская слава"</t>
  </si>
  <si>
    <t>03 2 00 77250</t>
  </si>
  <si>
    <t>Компенсация одиноко проживающим неработающим собственникам жилых помещений расходов по оплате взноса на капитальный ремонт общего имущества в многоквартирном доме</t>
  </si>
  <si>
    <t>03 2 00 77340</t>
  </si>
  <si>
    <t>Предоставление гражданам субсидий на оплату жилого помещения и коммунальных услуг (в части субвенций местным бюджетам)</t>
  </si>
  <si>
    <t>03 2 00 78740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</si>
  <si>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</si>
  <si>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03 2 00 78910</t>
  </si>
  <si>
    <t>Улучшение социально-бытового положения отдельных категорий ветеранов и инвалидов Великой Отечественной войны, не имеющих оснований для обеспечения жильем в соответствии с Указом Президента Российской Федерации от 7 мая 2008 года № 714 "Об обеспечении жильем ветеранов Великой Отечественной войны 1941 – 1945 годов"</t>
  </si>
  <si>
    <t>03 6 00 77260</t>
  </si>
  <si>
    <t>Социальные выплаты работникам государственных и муниципальных учреждений Архангельской области на приобретение жилья на первичном рынке</t>
  </si>
  <si>
    <t>06 1 00 77090</t>
  </si>
  <si>
    <t>Социальные выплаты безработным гражданам в соответствии с Законом Российской Федерации от 19 апреля 1991 года № 1032-1 "О занятости населения в Российской Федерации"</t>
  </si>
  <si>
    <t>07 1 00 52900</t>
  </si>
  <si>
    <t>Стипендии</t>
  </si>
  <si>
    <t>340</t>
  </si>
  <si>
    <t>Осуществление переданных органам государственной власти субъектов Российской Федерации в соответствии с пунктом 3 статьи 25 Федерального закона от 24 июня 1999 года № 120-ФЗ "Об основах системы профилактики безнадзорности и правонарушений несовершеннолетних"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–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</si>
  <si>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03 1 00 59400</t>
  </si>
  <si>
    <t>Перевозка несовершеннолетних, самовольно ушедших из семей, детских домов, школ-интернатов, специальных учебно-воспитательных и иных детских учреждений, за счет средств областного бюджета</t>
  </si>
  <si>
    <t>03 1 00 77030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</si>
  <si>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</si>
  <si>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03 2 00 50840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</si>
  <si>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</si>
  <si>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>03 2 00 52700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</si>
  <si>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</si>
  <si>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03 2 00 53800</t>
  </si>
  <si>
    <t>Ежемесячное пособие на ребенка</t>
  </si>
  <si>
    <t>03 2 00 77110</t>
  </si>
  <si>
    <t>Ежемесячное пособие на ребенка, не посещающего дошкольную образовательную организацию</t>
  </si>
  <si>
    <t>03 2 00 77150</t>
  </si>
  <si>
    <t>Единовременная денежная выплата женщинам, родившим первого ребенка в возрасте от 22 до 24 лет включительно</t>
  </si>
  <si>
    <t>03 2 00 77330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</si>
  <si>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 (областной бюджет)</t>
  </si>
  <si>
    <t>03 2 00 R0840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</si>
  <si>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</si>
  <si>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03 1 00 78720</t>
  </si>
  <si>
    <t>Мероприятия в сфере социальной политики, осуществляемые подведомственными учреждениями</t>
  </si>
  <si>
    <t>03 6 00 70550</t>
  </si>
  <si>
    <t>Осуществление государственных полномочий по выплате вознаграждений профессиональным опекунам</t>
  </si>
  <si>
    <t>03 6 00 78730</t>
  </si>
  <si>
    <t>Подпрограмма "Приоритетные социально значимые мероприятия в сфере социальной политики Архангельской области"</t>
  </si>
  <si>
    <t>03 7 00 00000</t>
  </si>
  <si>
    <t>03 7 00 70540</t>
  </si>
  <si>
    <t>03 7 00 70550</t>
  </si>
  <si>
    <t>03 8 00 70550</t>
  </si>
  <si>
    <t>03 9 00 70540</t>
  </si>
  <si>
    <t>Межбюджетные трансферты бюджету Пенсионного фонда Российской Федерации</t>
  </si>
  <si>
    <t>570</t>
  </si>
  <si>
    <t>Подпрограмма "Оказание содействия добровольному переселению в Архангельскую область соотечественников, проживающих за рубежом (2016 – 2020 годы)"</t>
  </si>
  <si>
    <t>07 6 00 00000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</si>
  <si>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(областной бюджет)</t>
  </si>
  <si>
    <t>07 6 00 R0860</t>
  </si>
  <si>
    <t>МИНИСТЕРСТВО ИМУЩЕСТВЕННЫХ ОТНОШЕНИЙ АРХАНГЕЛЬСКОЙ ОБЛАСТИ</t>
  </si>
  <si>
    <t>163</t>
  </si>
  <si>
    <t>Государственная программа Архангельской области "Развитие имущественно-земельных отношений Архангельской области (2014 – 2018 годы)"</t>
  </si>
  <si>
    <t>21 0 00 00000</t>
  </si>
  <si>
    <t>21 0 00 70010</t>
  </si>
  <si>
    <t>21 0 00 70030</t>
  </si>
  <si>
    <t>АГЕНТСТВО ГОСУДАРСТВЕННОЙ ПРОТИВОПОЖАРНОЙ СЛУЖБЫ И ГРАЖДАНСКОЙ ЗАЩИТЫ АРХАНГЕЛЬСКОЙ ОБЛАСТИ</t>
  </si>
  <si>
    <t>176</t>
  </si>
  <si>
    <t>09 2 00 70100</t>
  </si>
  <si>
    <t>Мероприятия в сфере гражданской обороны и защиты населения и территорий Архангельской области от чрезвычайных ситуаций, осуществляемые подведомственными учреждениями</t>
  </si>
  <si>
    <t>09 2 00 71520</t>
  </si>
  <si>
    <t>Подпрограмма "Обеспечение реализации государственной программы в Архангельской области"</t>
  </si>
  <si>
    <t>09 3 00 00000</t>
  </si>
  <si>
    <t>09 3 00 70010</t>
  </si>
  <si>
    <t>Подпрограмма "Построение (развитие), внедрение и эксплуатация аппаратно-программного комплекса "Безопасный город" в Архангельской области"</t>
  </si>
  <si>
    <t>09 4 00 00000</t>
  </si>
  <si>
    <t>Мероприятия в сфере национальной безопасности и правоохранительной деятельности, осуществляемые подведомственными учреждениями</t>
  </si>
  <si>
    <t>09 4 00 70510</t>
  </si>
  <si>
    <t>Обеспечение пожарной безопасности</t>
  </si>
  <si>
    <t>Подпрограмма "Пожарная безопасность в Архангельской области"</t>
  </si>
  <si>
    <t>09 1 00 00000</t>
  </si>
  <si>
    <t>09 1 00 70100</t>
  </si>
  <si>
    <t>Субсидии общественным объединениям пожарной охраны</t>
  </si>
  <si>
    <t>09 1 00 71540</t>
  </si>
  <si>
    <t>АГЕНТСТВО ПО СПОРТУ АРХАНГЕЛЬСКОЙ ОБЛАСТИ</t>
  </si>
  <si>
    <t>263</t>
  </si>
  <si>
    <t>11 5 00 00000</t>
  </si>
  <si>
    <t>11 5 00 70010</t>
  </si>
  <si>
    <t>Мероприятия в области физической культуры и спорта</t>
  </si>
  <si>
    <t>03 7 00 70430</t>
  </si>
  <si>
    <t>Реализация мероприятий по поэтапному внедрению Всероссийского физкультурно-спортивного комплекса "Готов к труду и обороне" (ГТО)</t>
  </si>
  <si>
    <t>11 1 00 51270</t>
  </si>
  <si>
    <t>11 1 00 70430</t>
  </si>
  <si>
    <t>Мероприятия по развитию физической культуры и спорта в муниципальных образованиях</t>
  </si>
  <si>
    <t>11 1 00 78520</t>
  </si>
  <si>
    <t>Спорт высших достижений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</si>
  <si>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</si>
  <si>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>11 1 00 50810</t>
  </si>
  <si>
    <t>11 1 00 70100</t>
  </si>
  <si>
    <t>УПОЛНОМОЧЕННЫЙ ПО ПРАВАМ ЧЕЛОВЕКА В АРХАНГЕЛЬСКОЙ ОБЛАСТИ</t>
  </si>
  <si>
    <t>Обеспечение деятельности уполномоченного по правам человека в Архангельской области</t>
  </si>
  <si>
    <t>65 0 00 00000</t>
  </si>
  <si>
    <t>65 0 00 70010</t>
  </si>
  <si>
    <t>АДМИНИСТРАЦИЯ ГУБЕРНАТОРА АРХАНГЕЛЬСКОЙ ОБЛАСТИ И ПРАВИТЕЛЬСТВА АРХАНГЕЛЬСКОЙ ОБЛАСТИ</t>
  </si>
  <si>
    <t>301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</si>
  <si>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</si>
  <si>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функционирования Губернатора Архангельской области, его заместителей, заместителей председателя Правительства Архангельской области</t>
  </si>
  <si>
    <t>61 0 00 00000</t>
  </si>
  <si>
    <t>Губернатор Архангельской области</t>
  </si>
  <si>
    <t>61 1 00 00000</t>
  </si>
  <si>
    <t>61 1 00 70010</t>
  </si>
  <si>
    <t>23 5 00 70030</t>
  </si>
  <si>
    <t>Заместители Губернатора Архангельской области, заместители председателя Правительства Архангельской области</t>
  </si>
  <si>
    <t>61 2 00 00000</t>
  </si>
  <si>
    <t>61 2 00 70010</t>
  </si>
  <si>
    <t>08 1 00 70490</t>
  </si>
  <si>
    <t>09 4 00 70490</t>
  </si>
  <si>
    <t>Государственная программа Архангельской области "Развитие местного самоуправления в Архангельской области и государственная поддержка социально ориентированных некоммерческих организаций (2014 – 2020 годы)"</t>
  </si>
  <si>
    <t>18 0 00 00000</t>
  </si>
  <si>
    <t>Подпрограмма "Государственная поддержка социально ориентированных некоммерческих организаций (2014 – 2020 годы)"</t>
  </si>
  <si>
    <t>18 1 00 00000</t>
  </si>
  <si>
    <t>18 1 00 70030</t>
  </si>
  <si>
    <t>18 1 00 70480</t>
  </si>
  <si>
    <t>Мероприятия по поддержке социально ориентированных некоммерческих организаций (областной бюджет)</t>
  </si>
  <si>
    <t>18 1 00 R0850</t>
  </si>
  <si>
    <t>Подпрограмма "Развитие территориального общественного самоуправления в Архангельской области (2014 – 2020 годы)"</t>
  </si>
  <si>
    <t>18 2 00 00000</t>
  </si>
  <si>
    <t>Развитие территориального общественного самоуправления в Архангельской области</t>
  </si>
  <si>
    <t>18 2 00 78420</t>
  </si>
  <si>
    <t>Подпрограмма "Обеспечение реализации государственной программы"</t>
  </si>
  <si>
    <t>18 3 00 00000</t>
  </si>
  <si>
    <t>18 3 00 70100</t>
  </si>
  <si>
    <t>Подпрограмма "Укрепление единства российской нации и этнокультурное развитие народов России, проживающих на территории Архангельской области (2014 – 2020 годы)"</t>
  </si>
  <si>
    <t>18 4 00 00000</t>
  </si>
  <si>
    <t>18 4 00 70480</t>
  </si>
  <si>
    <t>18 4 00 70490</t>
  </si>
  <si>
    <t>Подпрограмма "Развитие кадрового потенциала органов государственной власти, иных государственных органов Архангельской области и органов местного самоуправления муниципальных образований Архангельской области"</t>
  </si>
  <si>
    <t>23 1 00 00000</t>
  </si>
  <si>
    <t>23 1 00 70100</t>
  </si>
  <si>
    <t>Подпрограмма "Обеспечение доступности и качества предоставления государственных и муниципальных услуг по принципу "одного окна", в том числе на базе многофункциональных центров"</t>
  </si>
  <si>
    <t>23 2 00 00000</t>
  </si>
  <si>
    <t>23 2 00 70100</t>
  </si>
  <si>
    <t>23 2 00 70490</t>
  </si>
  <si>
    <t>Подпрограмма "Создание систем электронного правительства, развитие информационного общества Архангельской области"</t>
  </si>
  <si>
    <t>23 3 00 00000</t>
  </si>
  <si>
    <t>23 3 00 70100</t>
  </si>
  <si>
    <t>23 3 00 70490</t>
  </si>
  <si>
    <t>Мероприятия в сфере патриотического воспитания граждан и государственной молодежной политики</t>
  </si>
  <si>
    <t>08 1 00 70420</t>
  </si>
  <si>
    <t>Подпрограмма "Молодежь Архангельской области (2014 – 2020 годы)"</t>
  </si>
  <si>
    <t>11 2 00 00000</t>
  </si>
  <si>
    <t>11 2 00 70100</t>
  </si>
  <si>
    <t>11 2 00 70420</t>
  </si>
  <si>
    <t>Мероприятия по реализации молодежной политики в муниципальных образованиях</t>
  </si>
  <si>
    <t>11 2 00 78530</t>
  </si>
  <si>
    <t>11 3 00 70100</t>
  </si>
  <si>
    <t>11 3 00 70420</t>
  </si>
  <si>
    <t>Мероприятия по гражданско-патриотическому воспитанию граждан Российской Федерации и допризывной подготовке молодежи в муниципальных образованиях</t>
  </si>
  <si>
    <t>11 3 00 78540</t>
  </si>
  <si>
    <t>Подпрограмма "Обеспечение жильем молодых семей"</t>
  </si>
  <si>
    <t>06 2 00 00000</t>
  </si>
  <si>
    <t>Мероприятия подпрограммы "Обеспечение жильем молодых семей" федеральной целевой программы "Жилище" на 2015 – 2020 годы (областной бюджет)</t>
  </si>
  <si>
    <t>06 2 00 R0200</t>
  </si>
  <si>
    <t>06 2 00 70540</t>
  </si>
  <si>
    <t>КОНТРОЛЬНО-СЧЕТНАЯ ПАЛАТА АРХАНГЕЛЬСКОЙ ОБЛАСТИ</t>
  </si>
  <si>
    <t>304</t>
  </si>
  <si>
    <t>Обеспечение деятельности контрольно-счетной палаты Архангельской области</t>
  </si>
  <si>
    <t>64 0 00 00000</t>
  </si>
  <si>
    <t>64 0 00 70010</t>
  </si>
  <si>
    <t>АГЕНТСТВО ПО ТАРИФАМ И ЦЕНАМ АРХАНГЕЛЬСКОЙ ОБЛАСТИ</t>
  </si>
  <si>
    <t>306</t>
  </si>
  <si>
    <t>Подпрограмма "Проведение сбалансированной политики в области государственного регулирования тарифов на территории Архангельской области"</t>
  </si>
  <si>
    <t>12 5 00 00000</t>
  </si>
  <si>
    <t>12 5 00 70010</t>
  </si>
  <si>
    <t>ИЗБИРАТЕЛЬНАЯ КОМИССИЯ АРХАНГЕЛЬСКОЙ ОБЛАСТИ</t>
  </si>
  <si>
    <t>311</t>
  </si>
  <si>
    <t>Обеспечение проведения выборов и референдумов</t>
  </si>
  <si>
    <t>Обеспечение деятельности избирательной комиссии Архангельской области и проведение выборов</t>
  </si>
  <si>
    <t>63 0 00 00000</t>
  </si>
  <si>
    <t>Члены избирательной комиссии Архангельской области</t>
  </si>
  <si>
    <t>63 1 00 00000</t>
  </si>
  <si>
    <t>63 1 00 70010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</si>
  <si>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</si>
  <si>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63 2 00 00000</t>
  </si>
  <si>
    <t>63 2 00 71150</t>
  </si>
  <si>
    <t>Проведение выборов в Архангельской области</t>
  </si>
  <si>
    <t>63 3 00 00000</t>
  </si>
  <si>
    <t>Проведение выборов в Архангельское областное Собрание депутатов</t>
  </si>
  <si>
    <t>63 3 00 71160</t>
  </si>
  <si>
    <t>Избирательная комиссия Архангельской области</t>
  </si>
  <si>
    <t>63 4 00 00000</t>
  </si>
  <si>
    <t>63 4 00 70010</t>
  </si>
  <si>
    <t>МИНИСТЕРСТВО ПО МЕСТНОМУ САМОУПРАВЛЕНИЮ И ВНУТРЕННЕЙ ПОЛИТИКЕ АРХАНГЕЛЬСКОЙ ОБЛАСТИ</t>
  </si>
  <si>
    <t>313</t>
  </si>
  <si>
    <t>18 3 00 70010</t>
  </si>
  <si>
    <t>АРХАНГЕЛЬСКОЕ ОБЛАСТНОЕ СОБРАНИЕ ДЕПУТАТОВ</t>
  </si>
  <si>
    <t>329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</si>
  <si>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</si>
  <si>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Архангельского областного Собрания депутатов</t>
  </si>
  <si>
    <t>62 0 00 00000</t>
  </si>
  <si>
    <t>Председатель Архангельского областного Собрания депутатов</t>
  </si>
  <si>
    <t>62 1 00 00000</t>
  </si>
  <si>
    <t>62 1 00 70010</t>
  </si>
  <si>
    <t>Депутаты Архангельского областного Собрания депутатов</t>
  </si>
  <si>
    <t>62 2 00 00000</t>
  </si>
  <si>
    <t>62 2 00 70010</t>
  </si>
  <si>
    <t>Архангельское областное Собрание депутатов</t>
  </si>
  <si>
    <t>62 3 00 00000</t>
  </si>
  <si>
    <t>62 3 00 70010</t>
  </si>
  <si>
    <t>Возмещение расходов депутатов Архангельского областного Собрания депутатов в избирательных округах</t>
  </si>
  <si>
    <t>62 3 00 78920</t>
  </si>
  <si>
    <t>АГЕНТСТВО ПО РАЗВИТИЮ СОЛОВЕЦКОГО АРХИПЕЛАГА АРХАНГЕЛЬСКОЙ ОБЛАСТИ</t>
  </si>
  <si>
    <t>349</t>
  </si>
  <si>
    <t>Государственная программа Архангельской области "Развитие инфраструктуры Соловецкого архипелага (2014 – 2019 годы)"</t>
  </si>
  <si>
    <t>20 0 00 00000</t>
  </si>
  <si>
    <t>20 0 00 70010</t>
  </si>
  <si>
    <t>20 0 00 70300</t>
  </si>
  <si>
    <t>20 0 00 70480</t>
  </si>
  <si>
    <t>20 0 00 70100</t>
  </si>
  <si>
    <t>Капитальный ремонт многоквартирного жилищного фонда, хозяйственных и вспомогательных построек, относящихся к жилищному фонду поселка Соловецкий</t>
  </si>
  <si>
    <t>20 0 00 78250</t>
  </si>
  <si>
    <t>20 0 00 70310</t>
  </si>
  <si>
    <t>20 0 00 R1120</t>
  </si>
  <si>
    <t>АГЕНТСТВО ЗАПИСИ АКТОВ ГРАЖДАНСКОГО СОСТОЯНИЯ АРХАНГЕЛЬСКОЙ ОБЛАСТИ</t>
  </si>
  <si>
    <t>351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</si>
  <si>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</si>
  <si>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23 5 00 59300</t>
  </si>
  <si>
    <t>ГОСУДАРСТВЕННАЯ ЖИЛИЩНАЯ ИНСПЕКЦИЯ АРХАНГЕЛЬСКОЙ ОБЛАСТИ</t>
  </si>
  <si>
    <t>390</t>
  </si>
  <si>
    <t>Другие вопросы в области жилищно-коммунального хозяйства</t>
  </si>
  <si>
    <t>АГЕНТСТВО ПО ПЕЧАТИ И СРЕДСТВАМ МАССОВОЙ ИНФОРМАЦИИ АРХАНГЕЛЬСКОЙ ОБЛАСТИ</t>
  </si>
  <si>
    <t>398</t>
  </si>
  <si>
    <t>Средства массовой информации</t>
  </si>
  <si>
    <t>Периодическая печать и издательства</t>
  </si>
  <si>
    <t>Подпрограмма "Поддержка и развитие печатных средств массовой информации, обеспечение информирования населения о социально-экономическом развитии Архангельской области"</t>
  </si>
  <si>
    <t>23 4 00 00000</t>
  </si>
  <si>
    <t>23 4 00 70100</t>
  </si>
  <si>
    <t>Другие вопросы в области средств массовой информации</t>
  </si>
  <si>
    <t>Мероприятия в сфере печати и средств массовой информации</t>
  </si>
  <si>
    <t>03 8 00 70470</t>
  </si>
  <si>
    <t>08 2 00 70470</t>
  </si>
  <si>
    <t>23 4 00 70010</t>
  </si>
  <si>
    <t>23 4 00 70470</t>
  </si>
  <si>
    <t>АГЕНТСТВО ПО ОРГАНИЗАЦИОННОМУ ОБЕСПЕЧЕНИЮ ДЕЯТЕЛЬНОСТИ МИРОВЫХ СУДЕЙ АРХАНГЕЛЬСКОЙ ОБЛАСТИ</t>
  </si>
  <si>
    <t>435</t>
  </si>
  <si>
    <t>Расходы на обеспечение деятельности мировых судей</t>
  </si>
  <si>
    <t>23 5 00 71180</t>
  </si>
  <si>
    <t>КОНТРОЛЬНО-РЕВИЗИОННАЯ ИНСПЕКЦИЯ АРХАНГЕЛЬСКОЙ ОБЛАСТИ</t>
  </si>
  <si>
    <t>730</t>
  </si>
  <si>
    <t>Подпрограмма "Осуществление внутреннего государственного финансового контроля и контроля в сфере закупок товаров, работ, услуг"</t>
  </si>
  <si>
    <t>22 4 00 00000</t>
  </si>
  <si>
    <t>22 4 00 70010</t>
  </si>
  <si>
    <t>ГОСУДАРСТВЕННАЯ ИНСПЕКЦИЯ ПО НАДЗОРУ ЗА ТЕХНИЧЕСКИМ СОСТОЯНИЕМ САМОХОДНЫХ МАШИН И ДРУГИХ ВИДОВ ТЕХНИКИ АРХАНГЕЛЬСКОЙ ОБЛАСТИ</t>
  </si>
  <si>
    <t>731</t>
  </si>
  <si>
    <t>ИНСПЕКЦИЯ ГОСУДАРСТВЕННОГО СТРОИТЕЛЬНОГО НАДЗОРА АРХАНГЕЛЬСКОЙ ОБЛАСТИ</t>
  </si>
  <si>
    <t>732</t>
  </si>
  <si>
    <t>КОНТРАКТНОЕ АГЕНТСТВО АРХАНГЕЛЬСКОЙ ОБЛАСТИ</t>
  </si>
  <si>
    <t>735</t>
  </si>
  <si>
    <t>Подпрограмма "Совершенствование организации государственных закупок в Архангельской области"</t>
  </si>
  <si>
    <t>12 4 00 00000</t>
  </si>
  <si>
    <t>12 4 00 70010</t>
  </si>
  <si>
    <t>12 4 00 70100</t>
  </si>
  <si>
    <t>ИНСПЕКЦИЯ ПО ВЕТЕРИНАРНОМУ НАДЗОРУ АРХАНГЕЛЬСКОЙ ОБЛАСТИ</t>
  </si>
  <si>
    <t>737</t>
  </si>
  <si>
    <t>Проведение противоэпизоотических мероприятий</t>
  </si>
  <si>
    <t>05 1 00 72450</t>
  </si>
  <si>
    <t>Всего</t>
  </si>
  <si>
    <t>II. АДРЕСНЫЕ ПРОГРАММЫ АРХАНГЕЛЬСКОЙ ОБЛАСТИ</t>
  </si>
  <si>
    <t>III. ИНЫЕ ПРОГРАММЫ АРХАНГЕЛЬСКОЙ ОБЛАСТИ</t>
  </si>
  <si>
    <t>IV. НЕПРОГРАММНЫЕ НАПРАВЛЕНИЯ ДЕЯТЕЛЬНОСТИ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</si>
  <si>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</si>
  <si>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к уточненной сводной бюджетной росписи на год</t>
  </si>
  <si>
    <t>10 3 00 50160</t>
  </si>
  <si>
    <t>Реализация мероприятий федеральной целевой программы "Развитие водохозяйственного комплекса Российской Федерации в 2012 – 2020 годах"</t>
  </si>
  <si>
    <t>Реализация мероприятий федеральной целевой программы "Устойчивое развитие сельских территорий на 2014 – 2017 годы и на период до 2020 года"</t>
  </si>
  <si>
    <t>24 0 00 50180</t>
  </si>
  <si>
    <t>17 3 00 70030</t>
  </si>
  <si>
    <t xml:space="preserve">24 0 00 00000 </t>
  </si>
  <si>
    <t>Благоустройство</t>
  </si>
  <si>
    <t>03 8 00 R0270</t>
  </si>
  <si>
    <t>Мероприятия государственной программы Российской Федерации "Доступная среда" на 2011-2020 годы (областной бюджет)</t>
  </si>
  <si>
    <t>69 0 00 00000</t>
  </si>
  <si>
    <t>69 3 00 00000</t>
  </si>
  <si>
    <t>69 3 00 54220</t>
  </si>
  <si>
    <t>Непрограммные расходы на осуществление поддержки лиц, вынужденно покинувших территорию Украины и находящихся на территории Архангельской области</t>
  </si>
  <si>
    <t>Непрограммные расходы на компенсацию расходов, связанных с оказанием в 2014 – 2015 годах медицинскими организациями, подведомственными исполнительным органам государственной власти Архангельской области, гражданам Украины и лицам без гражданства медицинской помощи и проведением профилактических прививок, включенных в календарь профилактических прививок по эпидемическим показаниям</t>
  </si>
  <si>
    <t>Компенсация расходов, связанных с оказанием в 2014 – 2015 годах медицинскими организациями, подведомственными органам исполнительной власти субъектов Российской Федерации и органам местного самоуправления, гражданам Украины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</t>
  </si>
  <si>
    <t>01 8 00 54600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</si>
  <si>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</si>
  <si>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Осуществление единовременных выплат медицинским работникам</t>
  </si>
  <si>
    <t>01 7 00 51360</t>
  </si>
  <si>
    <t>01 Б 00 90020</t>
  </si>
  <si>
    <t>Организация и выполнение мероприятий по ответственному хранению материальных ценностей мобилизационного резерва</t>
  </si>
  <si>
    <t>МИНИСТЕРСТВО СВЯЗИ И ИНФОРМАЦИОННЫХ ТЕХНОЛОГИЙ АРХАНГЕЛЬСКОЙ ОБЛАСТИ</t>
  </si>
  <si>
    <t>072</t>
  </si>
  <si>
    <t>Прикладные научные исследования в области общегосударственных вопросов</t>
  </si>
  <si>
    <t>69 1 00 00000</t>
  </si>
  <si>
    <t>69 1 00 52240</t>
  </si>
  <si>
    <t>Непрограммные расходы по обеспечению временного социально-бытового устройства лиц, вынужденно покинувших территорию Украины и находящихся в пунктах временного размещения на территории Архангельской области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</si>
  <si>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</si>
  <si>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02 4 00 50880</t>
  </si>
  <si>
    <t>Поощрение лучших учителей</t>
  </si>
  <si>
    <t>02 7 00 50970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</si>
  <si>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</si>
  <si>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02 3 00 38930</t>
  </si>
  <si>
    <t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</si>
  <si>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02 2 00 58027</t>
  </si>
  <si>
    <t>02 1 00 54980</t>
  </si>
  <si>
    <t>Финансовое обеспечение мероприятий федеральной целевой прогарммы развития образования на 2016 - 2020 годы</t>
  </si>
  <si>
    <t>02 4 00 R0880</t>
  </si>
  <si>
    <t>Поощрение лучших учителей (областной бюджет)</t>
  </si>
  <si>
    <t>Мероприятия государственной программы Российской Федерации "Доступная среда" на 2011-2015 годы</t>
  </si>
  <si>
    <t>05 1 00 50380</t>
  </si>
  <si>
    <t>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</si>
  <si>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05 1 00 50390</t>
  </si>
  <si>
    <t>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</si>
  <si>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05 1 00 50480</t>
  </si>
  <si>
    <t>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</si>
  <si>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05 1 00 50520</t>
  </si>
  <si>
    <t>Возмещение части процентной ставки по инвестиционным кредитам на строительство и реконструкцию объектов мясного скотоводства</t>
  </si>
  <si>
    <t>05 1 00 50530</t>
  </si>
  <si>
    <t>Поддержка начинающих фермеров</t>
  </si>
  <si>
    <t>05 1 00 50540</t>
  </si>
  <si>
    <t>Развитие семейных животноводческих ферм</t>
  </si>
  <si>
    <t>05 1 00 50550</t>
  </si>
  <si>
    <t>05 1 00 54380</t>
  </si>
  <si>
    <t>Возмещение части процентной ставки по долгосрочным, среднесрочным и краткосрочным кредитам, взятым малыми формами хозяйствования</t>
  </si>
  <si>
    <t>Грантовая поддержка сельскохозяйственных потребительских кооперативов для развития материально-технической базы</t>
  </si>
  <si>
    <t>05 1 00 54420</t>
  </si>
  <si>
    <t>Возмещение части прямых понесенных затрат на создание и модернизацию объектов животноводческих комплексов молочного направления (молочных ферм), а также на приобретение техники и оборудования на цели предоставления субсидии</t>
  </si>
  <si>
    <t>05 1 00 54430</t>
  </si>
  <si>
    <t>05 1 00 54440</t>
  </si>
  <si>
    <t>Возмещение части процентной ставки по краткосрочным кредитам (займам) на развитие молочного скотоводства</t>
  </si>
  <si>
    <t>Возмещение части процентной ставки по инвестиционным кредитам (займам) на строительство и реконструкцию объектов для молочного скотоводства</t>
  </si>
  <si>
    <t>05 1 00 54500</t>
  </si>
  <si>
    <t>Возмещение части процентной ставки по краткосрочным кредитам (займам) на переработку продукции растениеводства и животноводства в области развития оптово-распределительных центров</t>
  </si>
  <si>
    <t>05 1 00 70980</t>
  </si>
  <si>
    <t>Возврат средств в федеральный бюджет  в связи с недостижением значений показателей результативности использования субсидий, установленных соглашениями о предоставлении субсидий из федерального бюджета бюджету Архангельской области, заключенными в 2015 году</t>
  </si>
  <si>
    <t>19 5 00 70030</t>
  </si>
  <si>
    <t>19 2 00 54200</t>
  </si>
  <si>
    <t>Реализация мероприятий региональных программ в сфере дорожного хозяйства, включая проекты, реализуемые с применением механизмов государственно-частного партнерства, и строительство, реконструкцию и ремонт уникальных искусственных дорожных сооружений по решениям Правительства Российской Федерации</t>
  </si>
  <si>
    <t>19 3 00 54200</t>
  </si>
  <si>
    <t>19 4 00 54200</t>
  </si>
  <si>
    <t>07 5 00 52380</t>
  </si>
  <si>
    <t>Субсидии на софинансирование региональных программ повышения мобильности трудовых ресурсов</t>
  </si>
  <si>
    <t>03 4 00 54570</t>
  </si>
  <si>
    <t>Мероприятия, связанные с отдыхом и оздоровлением детей, находящихся в трудной жизненной ситуации</t>
  </si>
  <si>
    <t>11 1 00 54950</t>
  </si>
  <si>
    <t>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</si>
  <si>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11 1 00 R0270</t>
  </si>
  <si>
    <t>11 1 00 R1270</t>
  </si>
  <si>
    <t>Реализация мероприятий по поэтапному внедрению Всероссийского физкультурно-спортивного комплекса "Готов к труду и обороне" (ГТО) (областной бюджет)</t>
  </si>
  <si>
    <t>11 1 00 R4950</t>
  </si>
  <si>
    <t>Финансовое обеспечение мероприятий федеральной целевой программы "Развитие физической культуры и спорта в Российской Федерации на 2016 – 2020 годы" (областной бюджет)</t>
  </si>
  <si>
    <t>11 1 00 R0810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</si>
  <si>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 (областной бюджет)</t>
  </si>
  <si>
    <t>66 0 00 00000</t>
  </si>
  <si>
    <t>Обеспечение деятельности депутатов Государственной Думы и их помощников в избирательных округах, членов Совета Федерации и их помощников в Архангельской области</t>
  </si>
  <si>
    <t xml:space="preserve">66 1 00 00000 </t>
  </si>
  <si>
    <t>Депутаты Государственной Думы и их помощники в округах</t>
  </si>
  <si>
    <t>66 1 00 51410</t>
  </si>
  <si>
    <t>Обеспечение деятельности депутатов Государственной Думы и их помощников в избирательных округах</t>
  </si>
  <si>
    <t>66 2 00 00000</t>
  </si>
  <si>
    <t>Члены Совета Федерации и их помощники в субъектах Российской Федерации</t>
  </si>
  <si>
    <t>66 2 00 51420</t>
  </si>
  <si>
    <t>Обеспечение членов Совета Федерации и их помощников в субъектах Российской Федерации</t>
  </si>
  <si>
    <t>06 2 00 50200</t>
  </si>
  <si>
    <t>Субсидии на мероприятия подпрограммы "Обеспечение жильем молодых семей" федеральной целевой программы "Жилище" на 2015 - 2020 годы</t>
  </si>
  <si>
    <t>Субсидии на софинансирование капитальных вложений в объекты муниципальной собственности</t>
  </si>
  <si>
    <t>20 0 00 51120</t>
  </si>
  <si>
    <t>АГЕНТСТВО СТРАТЕГИЧЕСКИХ РАЗРАБОТОК АРХАНГЕЛЬСКОЙ ОБЛАСТИ</t>
  </si>
  <si>
    <t>05 4 00 50760</t>
  </si>
  <si>
    <t>Реализация мероприятий федеральной целевой программы "Развитие мелиорации земель сельскохозяйственного назначения России                                                на 2014 - 2020 годы"</t>
  </si>
  <si>
    <t>тыс. рублей</t>
  </si>
  <si>
    <t>66 1 00 00000</t>
  </si>
  <si>
    <t>Приложение № 3 к пояснительной записке к отчету об исполнении областного бюджета за 9 месяцев  2016 года по форме приложения № 8 к областному закону "Об областном бюджете на 2016 год"</t>
  </si>
  <si>
    <t>Отчет об исполнении областного бюджета по разделам и подразделам классификации расходов бюджетов за 9 месяцев 2016 года</t>
  </si>
  <si>
    <t>Уточненная сводная бюджетная роспись на 2016 год по состоянию на 30.09.2016</t>
  </si>
  <si>
    <t>План кассовых выплат                        на 9 месяцев                    2016 года</t>
  </si>
  <si>
    <t>Исполнено на 01.10.2016г.</t>
  </si>
  <si>
    <t>Исполнение 9 месяцев, в процентах</t>
  </si>
  <si>
    <t>к плану на 9 месяцев</t>
  </si>
  <si>
    <t>Отчет об исполнении областного бюджета по бюджетным ассигнованиям на реализацию государственных, адресных и иных программ Архангельской области и непрограммных направлений деятельности за 9 месяцев 2016 года</t>
  </si>
  <si>
    <t>Приложение № 5 к пояснительной записке к отчету об исполнении областного бюджета за 9 месяцев 2016 года по форме приложения № 10 к областному закону "Об областном бюджете на 2016 год"</t>
  </si>
  <si>
    <t>Приложение № 4 к пояснительной записке к отчету об исполнении областного бюджета за 9 месяцев 2016 года по форме приложения № 9 к областному закону "Об областном бюджете на 2016 год"</t>
  </si>
  <si>
    <t>Отчет об исполнении областного бюджета по ведомственной структуре расходов областного бюджета за 9 месяцев 2016 года</t>
  </si>
  <si>
    <t>06 1 00 72950</t>
  </si>
  <si>
    <t>Возмещение недополученных доходов в части процентов, начисленных за пользование жилищными кредитами, выданными физическим лицам на приобретение жилья на первичном или вторичном рынках жилья</t>
  </si>
  <si>
    <t>02 7 00  55200</t>
  </si>
  <si>
    <t>Реализация мероприятий по содействию создания в субъектах Российской Федерации новых мест в общеобразовательных организациях</t>
  </si>
  <si>
    <t>02 7 00 R5200</t>
  </si>
  <si>
    <t>02 7 00 55200</t>
  </si>
  <si>
    <t>Реализация мероприятий по содействию создания в субъектах Российской Федерации новых мест в общеобразовательных организациях (областной бюджет)</t>
  </si>
  <si>
    <t>11 1 00 70980</t>
  </si>
  <si>
    <t>17 3 00 78900</t>
  </si>
  <si>
    <t>Погашение кредиторской задолженности муниципальных образований Архангельской области по муниципальным контрактам, заключенным в рамках реализации адресной программы "Переселение граждан из аварийного жилищного фонда" на 2013-2017 годы</t>
  </si>
  <si>
    <t>15 4 00 70100</t>
  </si>
  <si>
    <t>01 2 00 R3820</t>
  </si>
  <si>
    <t>Реализация отдельных мероприятий государственной программы Российской Федерации "Развитие здравоохранения" (областной бюджет)</t>
  </si>
  <si>
    <t>02 1 00 78170</t>
  </si>
  <si>
    <t>Оснащение образовательных организаций Архангельской области специальными транспортными средствами для перевозки детей</t>
  </si>
  <si>
    <t>02 7 00 70640</t>
  </si>
  <si>
    <t>Устройство детских спортивных площадок</t>
  </si>
  <si>
    <t>02 4 00 R4980</t>
  </si>
  <si>
    <t>Финансовое обеспечение мероприятий федеральной целевой программы развитие образования на 2016 – 2020 годы (областной бюджет)</t>
  </si>
  <si>
    <t xml:space="preserve">02 1 00 R4980 </t>
  </si>
  <si>
    <t>02 2 00 R0270</t>
  </si>
  <si>
    <t>Мероприятия государственной программы Российской Федерации "Доступная среда" на 2011 – 2020 годы (областной бюджет)</t>
  </si>
  <si>
    <t>02 5 00 70450</t>
  </si>
  <si>
    <t>55 0 00 00000</t>
  </si>
  <si>
    <t>55 0 00 70100</t>
  </si>
  <si>
    <t>55 0 00 77320</t>
  </si>
  <si>
    <t>Социальная программа Архангельской области на предоставление из бюджета Пенсионного фонда Российской Федерации субсидии на укрепление материально-технической базы учреждений социального обслуживания населения Архангельской области и обучение компьютерной грамотности неработающих пенсионеров</t>
  </si>
  <si>
    <t>Организация обучения компьютерной грамотности неработающих пенсионеров</t>
  </si>
  <si>
    <t>09 3 00 70030</t>
  </si>
  <si>
    <t>02 1 00 55200</t>
  </si>
  <si>
    <t>Утверждено на год (в  ред 22.09.2016 № 464-28-ОЗ)</t>
  </si>
  <si>
    <t>01 2 00 54020</t>
  </si>
  <si>
    <t>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</si>
  <si>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01 8 00 70100</t>
  </si>
  <si>
    <t>03 8 00 50270</t>
  </si>
  <si>
    <t>Мероприятия государственной программы Российской Федерации "Доступная среда" на 2011 – 2020 годы</t>
  </si>
  <si>
    <t>01 1 00 53820</t>
  </si>
  <si>
    <t>01 1 00 R3820</t>
  </si>
  <si>
    <t>01 8  00 70100</t>
  </si>
  <si>
    <t>04 0 00 56100</t>
  </si>
  <si>
    <t>Иные межбюджетные трансферты за счет средств резервного фонда Президента Российской Федерации на комплектование книгами для детей и юношества фондов государственных и муниципальных библиотек</t>
  </si>
  <si>
    <t>02 3 00 50270</t>
  </si>
  <si>
    <t>02 3 00 R0270</t>
  </si>
  <si>
    <t>02 2 00 50270</t>
  </si>
  <si>
    <t>71 0 00 00000</t>
  </si>
  <si>
    <t>71 0 00 71420</t>
  </si>
  <si>
    <t>Консолидация в областном бюджете бюджетных средств, сэкономленных государственными заказчиками Архангельской области при осуществлении закупок товаров, работ, услуг для государственных нужд Архангельской области</t>
  </si>
  <si>
    <t>12 2 00 50640</t>
  </si>
  <si>
    <t xml:space="preserve">Государственная поддержка малого и среднего предпринимательства, включая крестьянские (фермерские) хозяйства </t>
  </si>
  <si>
    <t>07 6 00 50860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</si>
  <si>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</si>
  <si>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11  1 00 50270</t>
  </si>
  <si>
    <t>23 1 00 50660</t>
  </si>
  <si>
    <t>Подготовка управленческих кадров для организаций народного хозяйства Российской Федерации</t>
  </si>
  <si>
    <t>12 2 00 54450</t>
  </si>
  <si>
    <t>Государственная поддержка молодежного предпринимательства</t>
  </si>
  <si>
    <t>I. ГОСУДАРСТВЕННЫЕ ПРОГРАММЫ АРХАНГЕЛЬСКОЙ ОБЛАСТИ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</si>
</sst>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#,##0.0"/>
    <numFmt numFmtId="165" formatCode="00\ 0\ 0000"/>
  </numFmts>
  <fonts count="14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 Cy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44" fontId="0" fillId="0" borderId="0">
      <alignment vertical="top" wrapText="1"/>
    </xf>
    <xf numFmtId="1" fontId="9" fillId="0" borderId="1">
      <alignment horizontal="center" vertical="top" shrinkToFit="1"/>
    </xf>
    <xf numFmtId="0" fontId="9" fillId="0" borderId="1">
      <alignment horizontal="left" vertical="top" wrapText="1"/>
    </xf>
    <xf numFmtId="0" fontId="5" fillId="0" borderId="0">
      <alignment vertical="top" wrapText="1"/>
    </xf>
  </cellStyleXfs>
  <cellXfs count="128">
    <xf numFmtId="44" fontId="0" fillId="0" borderId="0" xfId="0" applyNumberFormat="1" applyFont="1" applyFill="1" applyAlignment="1">
      <alignment vertical="top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0" fillId="0" borderId="0" xfId="0" applyNumberFormat="1" applyFont="1" applyFill="1" applyAlignment="1">
      <alignment vertical="top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1" fontId="5" fillId="0" borderId="1" xfId="1" applyNumberFormat="1" applyFont="1" applyProtection="1">
      <alignment horizontal="center" vertical="top" shrinkToFit="1"/>
      <protection locked="0"/>
    </xf>
    <xf numFmtId="0" fontId="5" fillId="0" borderId="1" xfId="2" applyNumberFormat="1" applyFont="1" applyProtection="1">
      <alignment horizontal="left" vertical="top" wrapText="1"/>
      <protection locked="0"/>
    </xf>
    <xf numFmtId="0" fontId="0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2" applyNumberFormat="1" applyFont="1" applyProtection="1">
      <alignment horizontal="left" vertical="top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164" fontId="0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Alignment="1">
      <alignment vertical="top" wrapText="1"/>
    </xf>
    <xf numFmtId="44" fontId="5" fillId="0" borderId="0" xfId="0" applyNumberFormat="1" applyFont="1" applyFill="1" applyAlignment="1">
      <alignment horizontal="right" wrapText="1"/>
    </xf>
    <xf numFmtId="0" fontId="12" fillId="0" borderId="0" xfId="0" applyNumberFormat="1" applyFont="1" applyFill="1" applyBorder="1" applyAlignment="1">
      <alignment horizontal="center" vertical="top" wrapText="1"/>
    </xf>
    <xf numFmtId="44" fontId="11" fillId="0" borderId="0" xfId="0" applyNumberFormat="1" applyFont="1" applyFill="1" applyAlignment="1">
      <alignment horizontal="right" vertical="top" wrapText="1"/>
    </xf>
    <xf numFmtId="0" fontId="1" fillId="0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Font="1" applyFill="1" applyBorder="1" applyAlignment="1">
      <alignment horizontal="right" vertical="center" wrapText="1"/>
    </xf>
    <xf numFmtId="0" fontId="5" fillId="0" borderId="1" xfId="3" applyFont="1" applyFill="1" applyBorder="1" applyAlignment="1">
      <alignment horizontal="center" vertical="center" wrapText="1"/>
    </xf>
    <xf numFmtId="44" fontId="0" fillId="0" borderId="0" xfId="0" applyNumberFormat="1" applyFont="1" applyFill="1" applyAlignment="1">
      <alignment vertical="top" wrapText="1"/>
    </xf>
    <xf numFmtId="44" fontId="0" fillId="0" borderId="0" xfId="0" applyNumberFormat="1" applyFont="1" applyFill="1" applyAlignment="1">
      <alignment vertical="top" wrapText="1"/>
    </xf>
    <xf numFmtId="0" fontId="1" fillId="3" borderId="0" xfId="0" applyNumberFormat="1" applyFont="1" applyFill="1" applyAlignment="1">
      <alignment horizontal="center" vertical="top" wrapText="1"/>
    </xf>
    <xf numFmtId="44" fontId="0" fillId="3" borderId="0" xfId="0" applyNumberFormat="1" applyFont="1" applyFill="1" applyAlignment="1">
      <alignment vertical="top" wrapText="1"/>
    </xf>
    <xf numFmtId="0" fontId="0" fillId="3" borderId="0" xfId="0" applyNumberFormat="1" applyFont="1" applyFill="1" applyAlignment="1">
      <alignment horizontal="left" vertical="top" wrapText="1"/>
    </xf>
    <xf numFmtId="0" fontId="2" fillId="3" borderId="0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vertical="center" wrapText="1"/>
    </xf>
    <xf numFmtId="0" fontId="0" fillId="3" borderId="1" xfId="0" applyNumberFormat="1" applyFont="1" applyFill="1" applyBorder="1" applyAlignment="1">
      <alignment vertical="top" wrapText="1"/>
    </xf>
    <xf numFmtId="164" fontId="0" fillId="3" borderId="1" xfId="0" applyNumberFormat="1" applyFont="1" applyFill="1" applyBorder="1" applyAlignment="1">
      <alignment horizontal="right" vertical="top" wrapText="1"/>
    </xf>
    <xf numFmtId="0" fontId="5" fillId="3" borderId="1" xfId="0" applyNumberFormat="1" applyFont="1" applyFill="1" applyBorder="1" applyAlignment="1">
      <alignment vertical="center" wrapText="1"/>
    </xf>
    <xf numFmtId="164" fontId="0" fillId="3" borderId="1" xfId="0" applyNumberForma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right"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vertical="top" wrapText="1"/>
    </xf>
    <xf numFmtId="0" fontId="5" fillId="3" borderId="1" xfId="2" applyNumberFormat="1" applyFont="1" applyFill="1" applyProtection="1">
      <alignment horizontal="left" vertical="top" wrapText="1"/>
      <protection locked="0"/>
    </xf>
    <xf numFmtId="1" fontId="5" fillId="3" borderId="1" xfId="1" applyNumberFormat="1" applyFont="1" applyFill="1" applyProtection="1">
      <alignment horizontal="center" vertical="top" shrinkToFit="1"/>
      <protection locked="0"/>
    </xf>
    <xf numFmtId="49" fontId="5" fillId="3" borderId="1" xfId="0" applyNumberFormat="1" applyFont="1" applyFill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vertical="top" wrapText="1"/>
    </xf>
    <xf numFmtId="0" fontId="8" fillId="3" borderId="1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right" vertical="center" wrapText="1"/>
    </xf>
    <xf numFmtId="0" fontId="0" fillId="3" borderId="1" xfId="0" applyNumberFormat="1" applyFill="1" applyBorder="1" applyAlignment="1">
      <alignment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ont="1" applyFill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Alignment="1">
      <alignment vertical="center" wrapText="1"/>
    </xf>
    <xf numFmtId="44" fontId="0" fillId="0" borderId="0" xfId="0" applyNumberFormat="1" applyFont="1" applyFill="1" applyAlignment="1">
      <alignment vertical="top" wrapText="1"/>
    </xf>
    <xf numFmtId="0" fontId="12" fillId="0" borderId="0" xfId="0" applyNumberFormat="1" applyFont="1" applyFill="1" applyBorder="1" applyAlignment="1">
      <alignment horizontal="center" vertical="top" wrapText="1"/>
    </xf>
    <xf numFmtId="44" fontId="13" fillId="0" borderId="0" xfId="0" applyNumberFormat="1" applyFont="1" applyFill="1" applyAlignment="1">
      <alignment vertical="top" wrapText="1"/>
    </xf>
    <xf numFmtId="0" fontId="6" fillId="0" borderId="0" xfId="0" applyNumberFormat="1" applyFont="1" applyFill="1" applyAlignment="1">
      <alignment horizontal="justify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Alignment="1">
      <alignment vertical="top" wrapText="1"/>
    </xf>
    <xf numFmtId="44" fontId="0" fillId="0" borderId="0" xfId="0" applyNumberFormat="1" applyFont="1" applyFill="1" applyAlignment="1">
      <alignment vertical="top" wrapText="1"/>
    </xf>
    <xf numFmtId="0" fontId="5" fillId="3" borderId="1" xfId="0" applyNumberFormat="1" applyFont="1" applyFill="1" applyBorder="1" applyAlignment="1">
      <alignment horizontal="left" vertical="center" wrapText="1"/>
    </xf>
    <xf numFmtId="44" fontId="0" fillId="0" borderId="0" xfId="0" applyNumberFormat="1" applyFont="1" applyFill="1" applyAlignment="1">
      <alignment vertical="top" wrapText="1"/>
    </xf>
    <xf numFmtId="44" fontId="0" fillId="0" borderId="0" xfId="0" applyNumberFormat="1" applyFont="1" applyFill="1" applyAlignment="1">
      <alignment vertical="top" wrapText="1"/>
    </xf>
    <xf numFmtId="44" fontId="0" fillId="0" borderId="0" xfId="0" applyNumberFormat="1" applyFont="1" applyFill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right" vertical="center" wrapText="1"/>
    </xf>
    <xf numFmtId="44" fontId="0" fillId="0" borderId="0" xfId="0" applyNumberFormat="1" applyFont="1" applyFill="1" applyAlignment="1">
      <alignment vertical="top" wrapText="1"/>
    </xf>
    <xf numFmtId="0" fontId="10" fillId="0" borderId="0" xfId="0" applyNumberFormat="1" applyFont="1" applyFill="1" applyAlignment="1">
      <alignment horizontal="justify" vertical="center" wrapText="1"/>
    </xf>
    <xf numFmtId="44" fontId="11" fillId="0" borderId="0" xfId="0" applyNumberFormat="1" applyFont="1" applyFill="1" applyAlignment="1">
      <alignment vertical="top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44" fontId="0" fillId="0" borderId="8" xfId="0" applyNumberFormat="1" applyFont="1" applyFill="1" applyBorder="1" applyAlignment="1">
      <alignment horizontal="center" vertical="top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0" fillId="0" borderId="9" xfId="0" applyNumberForma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Alignment="1">
      <alignment vertical="center" wrapText="1"/>
    </xf>
    <xf numFmtId="0" fontId="0" fillId="3" borderId="0" xfId="0" applyNumberFormat="1" applyFont="1" applyFill="1" applyAlignment="1">
      <alignment horizontal="left" vertical="top" wrapText="1"/>
    </xf>
    <xf numFmtId="0" fontId="7" fillId="3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center" vertical="center" wrapText="1"/>
    </xf>
    <xf numFmtId="44" fontId="0" fillId="3" borderId="0" xfId="0" applyNumberFormat="1" applyFont="1" applyFill="1" applyAlignment="1">
      <alignment vertical="center" wrapText="1"/>
    </xf>
    <xf numFmtId="0" fontId="6" fillId="3" borderId="0" xfId="0" applyNumberFormat="1" applyFont="1" applyFill="1" applyAlignment="1">
      <alignment horizontal="justify" vertical="center" wrapText="1"/>
    </xf>
    <xf numFmtId="0" fontId="0" fillId="3" borderId="4" xfId="0" applyNumberFormat="1" applyFont="1" applyFill="1" applyBorder="1" applyAlignment="1">
      <alignment horizontal="center" vertical="center" wrapText="1"/>
    </xf>
    <xf numFmtId="0" fontId="0" fillId="3" borderId="8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justify" vertical="center" wrapText="1"/>
    </xf>
    <xf numFmtId="44" fontId="0" fillId="0" borderId="0" xfId="0" applyNumberFormat="1" applyFont="1" applyFill="1" applyAlignment="1">
      <alignment vertical="top" wrapText="1"/>
    </xf>
    <xf numFmtId="0" fontId="12" fillId="0" borderId="0" xfId="0" applyNumberFormat="1" applyFont="1" applyFill="1" applyBorder="1" applyAlignment="1">
      <alignment horizontal="center" vertical="top" wrapText="1"/>
    </xf>
    <xf numFmtId="44" fontId="13" fillId="0" borderId="0" xfId="0" applyNumberFormat="1" applyFont="1" applyFill="1" applyAlignment="1">
      <alignment vertical="top" wrapText="1"/>
    </xf>
  </cellXfs>
  <cellStyles count="4">
    <cellStyle name="xl32" xfId="2"/>
    <cellStyle name="xl48" xfId="1"/>
    <cellStyle name="Обычный" xfId="0" builtinId="0"/>
    <cellStyle name="Обыч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1"/>
  <sheetViews>
    <sheetView tabSelected="1" view="pageBreakPreview" topLeftCell="A88" zoomScale="120" zoomScaleSheetLayoutView="120" workbookViewId="0">
      <selection activeCell="I27" sqref="I27"/>
    </sheetView>
  </sheetViews>
  <sheetFormatPr defaultRowHeight="12.75"/>
  <cols>
    <col min="1" max="1" width="78.1640625" customWidth="1"/>
    <col min="2" max="2" width="4.83203125" bestFit="1" customWidth="1"/>
    <col min="3" max="3" width="6.33203125" customWidth="1"/>
    <col min="4" max="4" width="21.33203125" style="83" customWidth="1"/>
    <col min="5" max="5" width="22.5" style="95" customWidth="1"/>
    <col min="6" max="6" width="22.1640625" style="83" customWidth="1"/>
    <col min="7" max="7" width="23.33203125" style="83" customWidth="1"/>
    <col min="8" max="8" width="18" style="83" customWidth="1"/>
    <col min="9" max="9" width="14.33203125" style="83" customWidth="1"/>
    <col min="10" max="10" width="13.1640625" style="83" customWidth="1"/>
  </cols>
  <sheetData>
    <row r="1" spans="1:10" ht="49.5" customHeight="1">
      <c r="A1" s="21" t="s">
        <v>0</v>
      </c>
      <c r="D1" s="21"/>
      <c r="F1" s="100" t="s">
        <v>1211</v>
      </c>
      <c r="G1" s="100"/>
      <c r="H1" s="100"/>
      <c r="I1" s="100"/>
      <c r="J1" s="101"/>
    </row>
    <row r="2" spans="1:10" ht="24" customHeight="1">
      <c r="A2" s="21"/>
      <c r="D2" s="21"/>
      <c r="F2" s="86"/>
      <c r="G2" s="86"/>
      <c r="H2" s="86"/>
      <c r="I2" s="86"/>
    </row>
    <row r="3" spans="1:10" ht="17.25" customHeight="1">
      <c r="A3" s="112" t="s">
        <v>1212</v>
      </c>
      <c r="B3" s="113"/>
      <c r="C3" s="113"/>
      <c r="D3" s="113"/>
      <c r="E3" s="114"/>
      <c r="F3" s="114"/>
      <c r="G3" s="114"/>
      <c r="H3" s="114"/>
      <c r="I3" s="114"/>
      <c r="J3" s="114"/>
    </row>
    <row r="4" spans="1:10" ht="17.25" customHeight="1">
      <c r="A4" s="40"/>
      <c r="B4" s="41"/>
      <c r="C4" s="41"/>
      <c r="D4" s="81"/>
      <c r="E4" s="96"/>
      <c r="F4" s="82"/>
      <c r="G4" s="82"/>
      <c r="H4" s="82"/>
      <c r="I4" s="82"/>
      <c r="J4" s="82"/>
    </row>
    <row r="5" spans="1:10" ht="15.75" customHeight="1">
      <c r="A5" s="16"/>
      <c r="B5" s="16"/>
      <c r="C5" s="16"/>
      <c r="D5" s="16"/>
      <c r="J5" s="43" t="s">
        <v>1209</v>
      </c>
    </row>
    <row r="6" spans="1:10" ht="31.5" customHeight="1">
      <c r="A6" s="106" t="s">
        <v>1</v>
      </c>
      <c r="B6" s="106" t="s">
        <v>3</v>
      </c>
      <c r="C6" s="106" t="s">
        <v>4</v>
      </c>
      <c r="D6" s="108" t="s">
        <v>1252</v>
      </c>
      <c r="E6" s="110" t="s">
        <v>1213</v>
      </c>
      <c r="F6" s="102" t="s">
        <v>1214</v>
      </c>
      <c r="G6" s="102" t="s">
        <v>1106</v>
      </c>
      <c r="H6" s="102" t="s">
        <v>1215</v>
      </c>
      <c r="I6" s="104" t="s">
        <v>1216</v>
      </c>
      <c r="J6" s="105"/>
    </row>
    <row r="7" spans="1:10" ht="111.75" customHeight="1">
      <c r="A7" s="107"/>
      <c r="B7" s="107"/>
      <c r="C7" s="107"/>
      <c r="D7" s="109"/>
      <c r="E7" s="111"/>
      <c r="F7" s="103"/>
      <c r="G7" s="103"/>
      <c r="H7" s="103"/>
      <c r="I7" s="87" t="s">
        <v>1107</v>
      </c>
      <c r="J7" s="87" t="s">
        <v>1217</v>
      </c>
    </row>
    <row r="8" spans="1:10">
      <c r="A8" s="2" t="s">
        <v>7</v>
      </c>
      <c r="B8" s="2" t="s">
        <v>8</v>
      </c>
      <c r="C8" s="2" t="s">
        <v>9</v>
      </c>
      <c r="D8" s="2" t="s">
        <v>10</v>
      </c>
      <c r="E8" s="97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0">
      <c r="A9" s="4" t="s">
        <v>16</v>
      </c>
      <c r="B9" s="5" t="s">
        <v>17</v>
      </c>
      <c r="C9" s="5" t="s">
        <v>0</v>
      </c>
      <c r="D9" s="7">
        <f>SUM(D10:D18)</f>
        <v>2777269.1</v>
      </c>
      <c r="E9" s="7">
        <f>SUM(E10:E18)</f>
        <v>2626520.94411</v>
      </c>
      <c r="F9" s="7">
        <f t="shared" ref="F9:G9" si="0">SUM(F10:F18)</f>
        <v>1640152.0497699999</v>
      </c>
      <c r="G9" s="7">
        <f t="shared" si="0"/>
        <v>1598744.8178699999</v>
      </c>
      <c r="H9" s="7">
        <f>SUM(H10:H18)</f>
        <v>1529750.6978</v>
      </c>
      <c r="I9" s="7">
        <f>H9/E9*100</f>
        <v>58.242470947375523</v>
      </c>
      <c r="J9" s="7">
        <f>H9/F9*100</f>
        <v>93.268834314142907</v>
      </c>
    </row>
    <row r="10" spans="1:10" ht="25.5">
      <c r="A10" s="8" t="s">
        <v>941</v>
      </c>
      <c r="B10" s="1" t="s">
        <v>17</v>
      </c>
      <c r="C10" s="1" t="s">
        <v>106</v>
      </c>
      <c r="D10" s="9">
        <v>4310.5</v>
      </c>
      <c r="E10" s="9">
        <v>4310.5</v>
      </c>
      <c r="F10" s="9">
        <v>3929</v>
      </c>
      <c r="G10" s="9">
        <v>3929</v>
      </c>
      <c r="H10" s="9">
        <v>3680.5896400000001</v>
      </c>
      <c r="I10" s="9">
        <f t="shared" ref="I10:I75" si="1">H10/E10*100</f>
        <v>85.386605730193722</v>
      </c>
      <c r="J10" s="9">
        <f t="shared" ref="J10:J75" si="2">H10/F10*100</f>
        <v>93.677516925426318</v>
      </c>
    </row>
    <row r="11" spans="1:10" ht="38.25">
      <c r="A11" s="8" t="s">
        <v>1033</v>
      </c>
      <c r="B11" s="1" t="s">
        <v>17</v>
      </c>
      <c r="C11" s="1" t="s">
        <v>150</v>
      </c>
      <c r="D11" s="9">
        <v>185245.1</v>
      </c>
      <c r="E11" s="9">
        <v>194189.78974000001</v>
      </c>
      <c r="F11" s="9">
        <v>149400.10524</v>
      </c>
      <c r="G11" s="9">
        <v>148099.59369000001</v>
      </c>
      <c r="H11" s="9">
        <v>137467.02283999999</v>
      </c>
      <c r="I11" s="9">
        <f t="shared" si="1"/>
        <v>70.790036398954896</v>
      </c>
      <c r="J11" s="9">
        <f t="shared" si="2"/>
        <v>92.012668009282578</v>
      </c>
    </row>
    <row r="12" spans="1:10" ht="38.25">
      <c r="A12" s="8" t="s">
        <v>18</v>
      </c>
      <c r="B12" s="1" t="s">
        <v>17</v>
      </c>
      <c r="C12" s="1" t="s">
        <v>19</v>
      </c>
      <c r="D12" s="9">
        <v>276045.7</v>
      </c>
      <c r="E12" s="9">
        <v>309188.24612000003</v>
      </c>
      <c r="F12" s="9">
        <v>232575.902</v>
      </c>
      <c r="G12" s="9">
        <v>232550.47049000001</v>
      </c>
      <c r="H12" s="9">
        <v>222729.67614</v>
      </c>
      <c r="I12" s="9">
        <f t="shared" si="1"/>
        <v>72.036915676786649</v>
      </c>
      <c r="J12" s="9">
        <f t="shared" si="2"/>
        <v>95.766446233109733</v>
      </c>
    </row>
    <row r="13" spans="1:10">
      <c r="A13" s="8" t="s">
        <v>604</v>
      </c>
      <c r="B13" s="1" t="s">
        <v>17</v>
      </c>
      <c r="C13" s="1" t="s">
        <v>93</v>
      </c>
      <c r="D13" s="9">
        <v>289099.90000000002</v>
      </c>
      <c r="E13" s="9">
        <v>288967.31524999999</v>
      </c>
      <c r="F13" s="9">
        <v>210883.63925000001</v>
      </c>
      <c r="G13" s="9">
        <v>210883.63925000001</v>
      </c>
      <c r="H13" s="9">
        <v>204312.84002</v>
      </c>
      <c r="I13" s="9">
        <f t="shared" si="1"/>
        <v>70.704480831418181</v>
      </c>
      <c r="J13" s="9">
        <f t="shared" si="2"/>
        <v>96.884158840691086</v>
      </c>
    </row>
    <row r="14" spans="1:10" ht="25.5">
      <c r="A14" s="8" t="s">
        <v>607</v>
      </c>
      <c r="B14" s="1" t="s">
        <v>17</v>
      </c>
      <c r="C14" s="1" t="s">
        <v>32</v>
      </c>
      <c r="D14" s="9">
        <v>146258.79999999999</v>
      </c>
      <c r="E14" s="9">
        <v>146258.75959999999</v>
      </c>
      <c r="F14" s="9">
        <v>114308.3596</v>
      </c>
      <c r="G14" s="9">
        <v>111901.1</v>
      </c>
      <c r="H14" s="9">
        <v>105771.29959</v>
      </c>
      <c r="I14" s="9">
        <f t="shared" si="1"/>
        <v>72.317924669450022</v>
      </c>
      <c r="J14" s="9">
        <f t="shared" si="2"/>
        <v>92.531552338014649</v>
      </c>
    </row>
    <row r="15" spans="1:10">
      <c r="A15" s="8" t="s">
        <v>1012</v>
      </c>
      <c r="B15" s="1" t="s">
        <v>17</v>
      </c>
      <c r="C15" s="1" t="s">
        <v>110</v>
      </c>
      <c r="D15" s="9">
        <v>43381</v>
      </c>
      <c r="E15" s="9">
        <v>43381</v>
      </c>
      <c r="F15" s="9">
        <v>33573.699999999997</v>
      </c>
      <c r="G15" s="9">
        <v>29502.3</v>
      </c>
      <c r="H15" s="9">
        <v>26924.720089999999</v>
      </c>
      <c r="I15" s="9">
        <f t="shared" si="1"/>
        <v>62.065697171572808</v>
      </c>
      <c r="J15" s="9">
        <f t="shared" si="2"/>
        <v>80.195867866812421</v>
      </c>
    </row>
    <row r="16" spans="1:10">
      <c r="A16" s="8" t="s">
        <v>611</v>
      </c>
      <c r="B16" s="1" t="s">
        <v>17</v>
      </c>
      <c r="C16" s="1" t="s">
        <v>154</v>
      </c>
      <c r="D16" s="9">
        <v>216714.8</v>
      </c>
      <c r="E16" s="9">
        <v>39462.150629999996</v>
      </c>
      <c r="F16" s="9">
        <v>171.864</v>
      </c>
      <c r="G16" s="9">
        <v>0</v>
      </c>
      <c r="H16" s="9">
        <v>0</v>
      </c>
      <c r="I16" s="9">
        <f t="shared" si="1"/>
        <v>0</v>
      </c>
      <c r="J16" s="9">
        <f t="shared" si="2"/>
        <v>0</v>
      </c>
    </row>
    <row r="17" spans="1:10" s="50" customFormat="1">
      <c r="A17" s="38" t="s">
        <v>1131</v>
      </c>
      <c r="B17" s="1" t="s">
        <v>17</v>
      </c>
      <c r="C17" s="1">
        <v>12</v>
      </c>
      <c r="D17" s="9">
        <v>0</v>
      </c>
      <c r="E17" s="9">
        <v>8890.7999999999993</v>
      </c>
      <c r="F17" s="9">
        <v>7600</v>
      </c>
      <c r="G17" s="9">
        <v>7600</v>
      </c>
      <c r="H17" s="9">
        <v>7600</v>
      </c>
      <c r="I17" s="9">
        <f t="shared" si="1"/>
        <v>85.481621451387952</v>
      </c>
      <c r="J17" s="9">
        <f t="shared" si="2"/>
        <v>100</v>
      </c>
    </row>
    <row r="18" spans="1:10">
      <c r="A18" s="8" t="s">
        <v>386</v>
      </c>
      <c r="B18" s="1" t="s">
        <v>17</v>
      </c>
      <c r="C18" s="1" t="s">
        <v>387</v>
      </c>
      <c r="D18" s="9">
        <v>1616213.3</v>
      </c>
      <c r="E18" s="9">
        <v>1591872.38277</v>
      </c>
      <c r="F18" s="9">
        <v>887709.47967999999</v>
      </c>
      <c r="G18" s="9">
        <v>854278.71444000001</v>
      </c>
      <c r="H18" s="9">
        <v>821264.54948000005</v>
      </c>
      <c r="I18" s="9">
        <f t="shared" si="1"/>
        <v>51.591104812744248</v>
      </c>
      <c r="J18" s="9">
        <f t="shared" si="2"/>
        <v>92.515014008417268</v>
      </c>
    </row>
    <row r="19" spans="1:10">
      <c r="A19" s="10" t="s">
        <v>0</v>
      </c>
      <c r="B19" s="6" t="s">
        <v>0</v>
      </c>
      <c r="C19" s="6" t="s">
        <v>0</v>
      </c>
      <c r="D19" s="11" t="s">
        <v>0</v>
      </c>
      <c r="E19" s="11"/>
      <c r="F19" s="11"/>
      <c r="G19" s="11"/>
      <c r="H19" s="11"/>
      <c r="I19" s="11"/>
      <c r="J19" s="11"/>
    </row>
    <row r="20" spans="1:10">
      <c r="A20" s="4" t="s">
        <v>622</v>
      </c>
      <c r="B20" s="5" t="s">
        <v>106</v>
      </c>
      <c r="C20" s="5" t="s">
        <v>0</v>
      </c>
      <c r="D20" s="7">
        <v>31272.5</v>
      </c>
      <c r="E20" s="7">
        <f>E21</f>
        <v>31272.5</v>
      </c>
      <c r="F20" s="7">
        <f t="shared" ref="F20:H20" si="3">F21</f>
        <v>26581.599999999999</v>
      </c>
      <c r="G20" s="7">
        <f t="shared" si="3"/>
        <v>26581.599999999999</v>
      </c>
      <c r="H20" s="7">
        <f t="shared" si="3"/>
        <v>24100.8135</v>
      </c>
      <c r="I20" s="7">
        <f t="shared" si="1"/>
        <v>77.067114877288361</v>
      </c>
      <c r="J20" s="7">
        <f t="shared" si="2"/>
        <v>90.667279245794091</v>
      </c>
    </row>
    <row r="21" spans="1:10">
      <c r="A21" s="8" t="s">
        <v>623</v>
      </c>
      <c r="B21" s="1" t="s">
        <v>106</v>
      </c>
      <c r="C21" s="1" t="s">
        <v>150</v>
      </c>
      <c r="D21" s="9">
        <v>31272.5</v>
      </c>
      <c r="E21" s="9">
        <v>31272.5</v>
      </c>
      <c r="F21" s="9">
        <v>26581.599999999999</v>
      </c>
      <c r="G21" s="9">
        <v>26581.599999999999</v>
      </c>
      <c r="H21" s="9">
        <v>24100.8135</v>
      </c>
      <c r="I21" s="9">
        <f t="shared" si="1"/>
        <v>77.067114877288361</v>
      </c>
      <c r="J21" s="9">
        <f t="shared" si="2"/>
        <v>90.667279245794091</v>
      </c>
    </row>
    <row r="22" spans="1:10">
      <c r="A22" s="10" t="s">
        <v>0</v>
      </c>
      <c r="B22" s="6" t="s">
        <v>0</v>
      </c>
      <c r="C22" s="6" t="s">
        <v>0</v>
      </c>
      <c r="D22" s="11" t="s">
        <v>0</v>
      </c>
      <c r="E22" s="11" t="s">
        <v>0</v>
      </c>
      <c r="F22" s="11"/>
      <c r="G22" s="11"/>
      <c r="H22" s="11"/>
      <c r="I22" s="11"/>
      <c r="J22" s="11"/>
    </row>
    <row r="23" spans="1:10">
      <c r="A23" s="4" t="s">
        <v>164</v>
      </c>
      <c r="B23" s="5" t="s">
        <v>150</v>
      </c>
      <c r="C23" s="5" t="s">
        <v>0</v>
      </c>
      <c r="D23" s="7">
        <f>D24+D25</f>
        <v>1075632.7</v>
      </c>
      <c r="E23" s="7">
        <f>E24+E25</f>
        <v>1084909.9442</v>
      </c>
      <c r="F23" s="7">
        <f t="shared" ref="F23:H23" si="4">F24+F25</f>
        <v>794051.21588999988</v>
      </c>
      <c r="G23" s="7">
        <f t="shared" si="4"/>
        <v>793911.21588999988</v>
      </c>
      <c r="H23" s="7">
        <f t="shared" si="4"/>
        <v>789481.79663999996</v>
      </c>
      <c r="I23" s="7">
        <f t="shared" si="1"/>
        <v>72.769339138296374</v>
      </c>
      <c r="J23" s="7">
        <f t="shared" si="2"/>
        <v>99.424543510725769</v>
      </c>
    </row>
    <row r="24" spans="1:10" ht="25.5">
      <c r="A24" s="8" t="s">
        <v>165</v>
      </c>
      <c r="B24" s="1" t="s">
        <v>150</v>
      </c>
      <c r="C24" s="1" t="s">
        <v>46</v>
      </c>
      <c r="D24" s="9">
        <v>202922.9</v>
      </c>
      <c r="E24" s="9">
        <v>208741.55102000001</v>
      </c>
      <c r="F24" s="9">
        <v>144172.24041999999</v>
      </c>
      <c r="G24" s="9">
        <v>144032.24041999999</v>
      </c>
      <c r="H24" s="9">
        <v>142656.84656000001</v>
      </c>
      <c r="I24" s="9">
        <f t="shared" si="1"/>
        <v>68.341375189998331</v>
      </c>
      <c r="J24" s="9">
        <f t="shared" si="2"/>
        <v>98.948900387768575</v>
      </c>
    </row>
    <row r="25" spans="1:10">
      <c r="A25" s="8" t="s">
        <v>914</v>
      </c>
      <c r="B25" s="1" t="s">
        <v>150</v>
      </c>
      <c r="C25" s="1" t="s">
        <v>148</v>
      </c>
      <c r="D25" s="9">
        <v>872709.8</v>
      </c>
      <c r="E25" s="9">
        <v>876168.39318000001</v>
      </c>
      <c r="F25" s="9">
        <v>649878.97546999995</v>
      </c>
      <c r="G25" s="9">
        <v>649878.97546999995</v>
      </c>
      <c r="H25" s="9">
        <v>646824.95007999998</v>
      </c>
      <c r="I25" s="9">
        <f t="shared" si="1"/>
        <v>73.824273406209969</v>
      </c>
      <c r="J25" s="9">
        <f t="shared" si="2"/>
        <v>99.530062441581336</v>
      </c>
    </row>
    <row r="26" spans="1:10">
      <c r="A26" s="10" t="s">
        <v>0</v>
      </c>
      <c r="B26" s="6" t="s">
        <v>0</v>
      </c>
      <c r="C26" s="6" t="s">
        <v>0</v>
      </c>
      <c r="D26" s="11" t="s">
        <v>0</v>
      </c>
      <c r="E26" s="11" t="s">
        <v>0</v>
      </c>
      <c r="F26" s="11"/>
      <c r="G26" s="11"/>
      <c r="H26" s="11"/>
      <c r="I26" s="11"/>
      <c r="J26" s="11"/>
    </row>
    <row r="27" spans="1:10">
      <c r="A27" s="4" t="s">
        <v>30</v>
      </c>
      <c r="B27" s="5" t="s">
        <v>19</v>
      </c>
      <c r="C27" s="5" t="s">
        <v>0</v>
      </c>
      <c r="D27" s="7">
        <f>SUM(D28:D36)</f>
        <v>9845687.6000000015</v>
      </c>
      <c r="E27" s="7">
        <f>SUM(E28:E36)</f>
        <v>10226690.33264</v>
      </c>
      <c r="F27" s="7">
        <f t="shared" ref="F27:H27" si="5">SUM(F28:F36)</f>
        <v>6973212.9853700008</v>
      </c>
      <c r="G27" s="7">
        <f t="shared" si="5"/>
        <v>6966118.1763200006</v>
      </c>
      <c r="H27" s="7">
        <f t="shared" si="5"/>
        <v>6882120.6036300007</v>
      </c>
      <c r="I27" s="7">
        <f t="shared" si="1"/>
        <v>67.295678071572112</v>
      </c>
      <c r="J27" s="7">
        <f t="shared" si="2"/>
        <v>98.693681349886859</v>
      </c>
    </row>
    <row r="28" spans="1:10">
      <c r="A28" s="8" t="s">
        <v>230</v>
      </c>
      <c r="B28" s="1" t="s">
        <v>19</v>
      </c>
      <c r="C28" s="1" t="s">
        <v>17</v>
      </c>
      <c r="D28" s="9">
        <v>576954.80000000005</v>
      </c>
      <c r="E28" s="9">
        <v>594203.33421</v>
      </c>
      <c r="F28" s="9">
        <v>435508.95395</v>
      </c>
      <c r="G28" s="9">
        <v>431430.56761999999</v>
      </c>
      <c r="H28" s="9">
        <v>395322.45357999997</v>
      </c>
      <c r="I28" s="9">
        <f t="shared" si="1"/>
        <v>66.529827555677656</v>
      </c>
      <c r="J28" s="9">
        <f t="shared" si="2"/>
        <v>90.77252028792644</v>
      </c>
    </row>
    <row r="29" spans="1:10">
      <c r="A29" s="8" t="s">
        <v>174</v>
      </c>
      <c r="B29" s="1" t="s">
        <v>19</v>
      </c>
      <c r="C29" s="1" t="s">
        <v>106</v>
      </c>
      <c r="D29" s="9">
        <v>70080.5</v>
      </c>
      <c r="E29" s="9">
        <v>70080.5</v>
      </c>
      <c r="F29" s="9">
        <v>48648.800000000003</v>
      </c>
      <c r="G29" s="9">
        <v>48382.016179999999</v>
      </c>
      <c r="H29" s="9">
        <v>41617.313710000002</v>
      </c>
      <c r="I29" s="9">
        <f t="shared" si="1"/>
        <v>59.385012535584082</v>
      </c>
      <c r="J29" s="9">
        <f t="shared" si="2"/>
        <v>85.546434259426746</v>
      </c>
    </row>
    <row r="30" spans="1:10">
      <c r="A30" s="8" t="s">
        <v>489</v>
      </c>
      <c r="B30" s="1" t="s">
        <v>19</v>
      </c>
      <c r="C30" s="1" t="s">
        <v>93</v>
      </c>
      <c r="D30" s="9">
        <v>875687.6</v>
      </c>
      <c r="E30" s="9">
        <v>1099158</v>
      </c>
      <c r="F30" s="9">
        <v>902550.69249000004</v>
      </c>
      <c r="G30" s="9">
        <v>901708.22901000001</v>
      </c>
      <c r="H30" s="9">
        <v>897242.19157000002</v>
      </c>
      <c r="I30" s="9">
        <f t="shared" si="1"/>
        <v>81.629955981760588</v>
      </c>
      <c r="J30" s="9">
        <f t="shared" si="2"/>
        <v>99.411833488781141</v>
      </c>
    </row>
    <row r="31" spans="1:10" s="99" customFormat="1">
      <c r="A31" s="8" t="s">
        <v>31</v>
      </c>
      <c r="B31" s="1" t="s">
        <v>19</v>
      </c>
      <c r="C31" s="1" t="s">
        <v>32</v>
      </c>
      <c r="D31" s="9">
        <v>27289.7</v>
      </c>
      <c r="E31" s="9">
        <v>85659.335000000006</v>
      </c>
      <c r="F31" s="9">
        <v>1433.8932299999999</v>
      </c>
      <c r="G31" s="9">
        <v>1433.8932299999999</v>
      </c>
      <c r="H31" s="9">
        <v>1426.3932299999999</v>
      </c>
      <c r="I31" s="9">
        <f t="shared" si="1"/>
        <v>1.6651929763405233</v>
      </c>
      <c r="J31" s="9">
        <f t="shared" si="2"/>
        <v>99.47694850334149</v>
      </c>
    </row>
    <row r="32" spans="1:10">
      <c r="A32" s="8" t="s">
        <v>242</v>
      </c>
      <c r="B32" s="1" t="s">
        <v>19</v>
      </c>
      <c r="C32" s="1" t="s">
        <v>110</v>
      </c>
      <c r="D32" s="9">
        <v>883249.1</v>
      </c>
      <c r="E32" s="9">
        <v>883249.1</v>
      </c>
      <c r="F32" s="9">
        <v>622599.08765999996</v>
      </c>
      <c r="G32" s="9">
        <v>621531.09022000001</v>
      </c>
      <c r="H32" s="9">
        <v>619176.15732</v>
      </c>
      <c r="I32" s="9">
        <f t="shared" si="1"/>
        <v>70.102098866559842</v>
      </c>
      <c r="J32" s="9">
        <f t="shared" si="2"/>
        <v>99.45021918473013</v>
      </c>
    </row>
    <row r="33" spans="1:10">
      <c r="A33" s="8" t="s">
        <v>671</v>
      </c>
      <c r="B33" s="1" t="s">
        <v>19</v>
      </c>
      <c r="C33" s="1" t="s">
        <v>130</v>
      </c>
      <c r="D33" s="9">
        <v>504601.9</v>
      </c>
      <c r="E33" s="9">
        <v>534518.85808000003</v>
      </c>
      <c r="F33" s="9">
        <v>386467.28307</v>
      </c>
      <c r="G33" s="9">
        <v>386467.28307</v>
      </c>
      <c r="H33" s="9">
        <v>381143.53116999997</v>
      </c>
      <c r="I33" s="9">
        <f t="shared" si="1"/>
        <v>71.305909119665742</v>
      </c>
      <c r="J33" s="9">
        <f t="shared" si="2"/>
        <v>98.622457285980474</v>
      </c>
    </row>
    <row r="34" spans="1:10">
      <c r="A34" s="8" t="s">
        <v>45</v>
      </c>
      <c r="B34" s="1" t="s">
        <v>19</v>
      </c>
      <c r="C34" s="1" t="s">
        <v>46</v>
      </c>
      <c r="D34" s="9">
        <v>6593575.7000000002</v>
      </c>
      <c r="E34" s="9">
        <v>6600401.3387200003</v>
      </c>
      <c r="F34" s="9">
        <v>4388370.2901699999</v>
      </c>
      <c r="G34" s="9">
        <v>4388370.2901699999</v>
      </c>
      <c r="H34" s="9">
        <v>4377680.3732799999</v>
      </c>
      <c r="I34" s="9">
        <f t="shared" si="1"/>
        <v>66.324457387146595</v>
      </c>
      <c r="J34" s="9">
        <f t="shared" si="2"/>
        <v>99.756403489606484</v>
      </c>
    </row>
    <row r="35" spans="1:10">
      <c r="A35" s="8" t="s">
        <v>710</v>
      </c>
      <c r="B35" s="1" t="s">
        <v>19</v>
      </c>
      <c r="C35" s="1" t="s">
        <v>148</v>
      </c>
      <c r="D35" s="9">
        <v>22538.3</v>
      </c>
      <c r="E35" s="9">
        <v>22538.291150000001</v>
      </c>
      <c r="F35" s="9">
        <v>15879.98115</v>
      </c>
      <c r="G35" s="9">
        <v>15879.98115</v>
      </c>
      <c r="H35" s="9">
        <v>11605.597519999999</v>
      </c>
      <c r="I35" s="9">
        <f t="shared" si="1"/>
        <v>51.492801485085081</v>
      </c>
      <c r="J35" s="9">
        <f t="shared" si="2"/>
        <v>73.083194560341141</v>
      </c>
    </row>
    <row r="36" spans="1:10">
      <c r="A36" s="8" t="s">
        <v>50</v>
      </c>
      <c r="B36" s="1" t="s">
        <v>19</v>
      </c>
      <c r="C36" s="1" t="s">
        <v>51</v>
      </c>
      <c r="D36" s="9">
        <v>291710</v>
      </c>
      <c r="E36" s="9">
        <v>336881.57548</v>
      </c>
      <c r="F36" s="9">
        <v>171754.00365</v>
      </c>
      <c r="G36" s="9">
        <v>170914.82566999999</v>
      </c>
      <c r="H36" s="9">
        <v>156906.59224999999</v>
      </c>
      <c r="I36" s="9">
        <f t="shared" si="1"/>
        <v>46.576186906759233</v>
      </c>
      <c r="J36" s="9">
        <f t="shared" si="2"/>
        <v>91.355420494152767</v>
      </c>
    </row>
    <row r="37" spans="1:10">
      <c r="A37" s="10" t="s">
        <v>0</v>
      </c>
      <c r="B37" s="6" t="s">
        <v>0</v>
      </c>
      <c r="C37" s="6" t="s">
        <v>0</v>
      </c>
      <c r="D37" s="11" t="s">
        <v>0</v>
      </c>
      <c r="E37" s="11" t="s">
        <v>0</v>
      </c>
      <c r="F37" s="11"/>
      <c r="G37" s="11"/>
      <c r="H37" s="11"/>
      <c r="I37" s="11"/>
      <c r="J37" s="11"/>
    </row>
    <row r="38" spans="1:10">
      <c r="A38" s="4" t="s">
        <v>92</v>
      </c>
      <c r="B38" s="5" t="s">
        <v>93</v>
      </c>
      <c r="C38" s="5" t="s">
        <v>0</v>
      </c>
      <c r="D38" s="7">
        <f>D39+D42+D40+D41</f>
        <v>7651886.9000000004</v>
      </c>
      <c r="E38" s="7">
        <f>E39+E42+E40+E41</f>
        <v>7901038.0093099996</v>
      </c>
      <c r="F38" s="7">
        <f t="shared" ref="F38:H38" si="6">F39+F42+F40+F41</f>
        <v>4275720.7298099995</v>
      </c>
      <c r="G38" s="7">
        <f t="shared" si="6"/>
        <v>4272066.89671</v>
      </c>
      <c r="H38" s="7">
        <f t="shared" si="6"/>
        <v>4237195.8522300003</v>
      </c>
      <c r="I38" s="7">
        <f t="shared" si="1"/>
        <v>53.62834411424425</v>
      </c>
      <c r="J38" s="7">
        <f t="shared" si="2"/>
        <v>99.098985176664911</v>
      </c>
    </row>
    <row r="39" spans="1:10">
      <c r="A39" s="8" t="s">
        <v>94</v>
      </c>
      <c r="B39" s="1" t="s">
        <v>93</v>
      </c>
      <c r="C39" s="1" t="s">
        <v>17</v>
      </c>
      <c r="D39" s="9">
        <v>4366743.9000000004</v>
      </c>
      <c r="E39" s="9">
        <v>4366743.9078900004</v>
      </c>
      <c r="F39" s="9">
        <v>1507146.38136</v>
      </c>
      <c r="G39" s="9">
        <v>1507146.38136</v>
      </c>
      <c r="H39" s="9">
        <v>1477940.12744</v>
      </c>
      <c r="I39" s="9">
        <f t="shared" si="1"/>
        <v>33.845358432162712</v>
      </c>
      <c r="J39" s="9">
        <f t="shared" si="2"/>
        <v>98.062148821029226</v>
      </c>
    </row>
    <row r="40" spans="1:10">
      <c r="A40" s="8" t="s">
        <v>105</v>
      </c>
      <c r="B40" s="1" t="s">
        <v>93</v>
      </c>
      <c r="C40" s="1" t="s">
        <v>106</v>
      </c>
      <c r="D40" s="9">
        <v>3231580.2</v>
      </c>
      <c r="E40" s="9">
        <v>3463030.2423899998</v>
      </c>
      <c r="F40" s="9">
        <v>2709112.2894199998</v>
      </c>
      <c r="G40" s="9">
        <v>2709112.2894199998</v>
      </c>
      <c r="H40" s="9">
        <v>2708604.9124699999</v>
      </c>
      <c r="I40" s="9">
        <f t="shared" si="1"/>
        <v>78.214878961053032</v>
      </c>
      <c r="J40" s="9">
        <f t="shared" si="2"/>
        <v>99.981271468444419</v>
      </c>
    </row>
    <row r="41" spans="1:10" s="50" customFormat="1">
      <c r="A41" s="25" t="s">
        <v>1114</v>
      </c>
      <c r="B41" s="1" t="s">
        <v>93</v>
      </c>
      <c r="C41" s="31" t="s">
        <v>150</v>
      </c>
      <c r="D41" s="9"/>
      <c r="E41" s="9">
        <v>16301.05903</v>
      </c>
      <c r="F41" s="9">
        <v>16301.05903</v>
      </c>
      <c r="G41" s="9">
        <v>16301.05903</v>
      </c>
      <c r="H41" s="9">
        <v>14143.72068</v>
      </c>
      <c r="I41" s="9">
        <f t="shared" si="1"/>
        <v>86.765655249577975</v>
      </c>
      <c r="J41" s="9">
        <f t="shared" si="2"/>
        <v>86.765655249577975</v>
      </c>
    </row>
    <row r="42" spans="1:10">
      <c r="A42" s="8" t="s">
        <v>1065</v>
      </c>
      <c r="B42" s="1" t="s">
        <v>93</v>
      </c>
      <c r="C42" s="1" t="s">
        <v>93</v>
      </c>
      <c r="D42" s="9">
        <v>53562.8</v>
      </c>
      <c r="E42" s="9">
        <v>54962.8</v>
      </c>
      <c r="F42" s="9">
        <v>43161</v>
      </c>
      <c r="G42" s="9">
        <v>39507.166899999997</v>
      </c>
      <c r="H42" s="9">
        <v>36507.091639999999</v>
      </c>
      <c r="I42" s="9">
        <f t="shared" si="1"/>
        <v>66.421455311592553</v>
      </c>
      <c r="J42" s="9">
        <f t="shared" si="2"/>
        <v>84.583516693311083</v>
      </c>
    </row>
    <row r="43" spans="1:10">
      <c r="A43" s="10" t="s">
        <v>0</v>
      </c>
      <c r="B43" s="6" t="s">
        <v>0</v>
      </c>
      <c r="C43" s="6" t="s">
        <v>0</v>
      </c>
      <c r="D43" s="11" t="s">
        <v>0</v>
      </c>
      <c r="E43" s="11" t="s">
        <v>0</v>
      </c>
      <c r="F43" s="11"/>
      <c r="G43" s="11"/>
      <c r="H43" s="11"/>
      <c r="I43" s="11"/>
      <c r="J43" s="11"/>
    </row>
    <row r="44" spans="1:10">
      <c r="A44" s="4" t="s">
        <v>264</v>
      </c>
      <c r="B44" s="5" t="s">
        <v>32</v>
      </c>
      <c r="C44" s="5" t="s">
        <v>0</v>
      </c>
      <c r="D44" s="7">
        <f>D45</f>
        <v>62710.2</v>
      </c>
      <c r="E44" s="7">
        <f>E45</f>
        <v>64860.2</v>
      </c>
      <c r="F44" s="7">
        <f t="shared" ref="F44:H44" si="7">F45</f>
        <v>38151.55186</v>
      </c>
      <c r="G44" s="7">
        <f t="shared" si="7"/>
        <v>38151.55186</v>
      </c>
      <c r="H44" s="7">
        <f t="shared" si="7"/>
        <v>37793.473859999998</v>
      </c>
      <c r="I44" s="7">
        <f t="shared" si="1"/>
        <v>58.26912938905523</v>
      </c>
      <c r="J44" s="7">
        <f t="shared" si="2"/>
        <v>99.06143267431429</v>
      </c>
    </row>
    <row r="45" spans="1:10">
      <c r="A45" s="8" t="s">
        <v>265</v>
      </c>
      <c r="B45" s="1" t="s">
        <v>32</v>
      </c>
      <c r="C45" s="1" t="s">
        <v>150</v>
      </c>
      <c r="D45" s="9">
        <v>62710.2</v>
      </c>
      <c r="E45" s="9">
        <v>64860.2</v>
      </c>
      <c r="F45" s="9">
        <v>38151.55186</v>
      </c>
      <c r="G45" s="9">
        <v>38151.55186</v>
      </c>
      <c r="H45" s="9">
        <v>37793.473859999998</v>
      </c>
      <c r="I45" s="9">
        <f t="shared" si="1"/>
        <v>58.26912938905523</v>
      </c>
      <c r="J45" s="9">
        <f t="shared" si="2"/>
        <v>99.06143267431429</v>
      </c>
    </row>
    <row r="46" spans="1:10">
      <c r="A46" s="10" t="s">
        <v>0</v>
      </c>
      <c r="B46" s="6" t="s">
        <v>0</v>
      </c>
      <c r="C46" s="6" t="s">
        <v>0</v>
      </c>
      <c r="D46" s="11" t="s">
        <v>0</v>
      </c>
      <c r="E46" s="11" t="s">
        <v>0</v>
      </c>
      <c r="F46" s="11"/>
      <c r="G46" s="11"/>
      <c r="H46" s="11"/>
      <c r="I46" s="11"/>
      <c r="J46" s="11"/>
    </row>
    <row r="47" spans="1:10">
      <c r="A47" s="4" t="s">
        <v>109</v>
      </c>
      <c r="B47" s="5" t="s">
        <v>110</v>
      </c>
      <c r="C47" s="5" t="s">
        <v>0</v>
      </c>
      <c r="D47" s="7">
        <f>SUM(D48:D54)</f>
        <v>17533904.199999999</v>
      </c>
      <c r="E47" s="7">
        <f>SUM(E48:E54)</f>
        <v>17712767.866859995</v>
      </c>
      <c r="F47" s="7">
        <f t="shared" ref="F47:H47" si="8">SUM(F48:F54)</f>
        <v>13443418.339859998</v>
      </c>
      <c r="G47" s="7">
        <f t="shared" si="8"/>
        <v>13442855.231579999</v>
      </c>
      <c r="H47" s="7">
        <f t="shared" si="8"/>
        <v>12960030.162169999</v>
      </c>
      <c r="I47" s="7">
        <f t="shared" si="1"/>
        <v>73.16772996510494</v>
      </c>
      <c r="J47" s="7">
        <f t="shared" si="2"/>
        <v>96.404276312247589</v>
      </c>
    </row>
    <row r="48" spans="1:10">
      <c r="A48" s="8" t="s">
        <v>111</v>
      </c>
      <c r="B48" s="1" t="s">
        <v>110</v>
      </c>
      <c r="C48" s="1" t="s">
        <v>17</v>
      </c>
      <c r="D48" s="9">
        <v>207281.8</v>
      </c>
      <c r="E48" s="9">
        <v>209823.70323000001</v>
      </c>
      <c r="F48" s="9">
        <v>176965.58126000001</v>
      </c>
      <c r="G48" s="9">
        <v>176965.58126000001</v>
      </c>
      <c r="H48" s="9">
        <v>176965.58126000001</v>
      </c>
      <c r="I48" s="9">
        <f t="shared" si="1"/>
        <v>84.340128658399323</v>
      </c>
      <c r="J48" s="9">
        <f t="shared" si="2"/>
        <v>100</v>
      </c>
    </row>
    <row r="49" spans="1:10">
      <c r="A49" s="8" t="s">
        <v>119</v>
      </c>
      <c r="B49" s="1" t="s">
        <v>110</v>
      </c>
      <c r="C49" s="1" t="s">
        <v>106</v>
      </c>
      <c r="D49" s="9">
        <v>13869766</v>
      </c>
      <c r="E49" s="9">
        <v>13924274.19568</v>
      </c>
      <c r="F49" s="9">
        <v>10525405.06931</v>
      </c>
      <c r="G49" s="9">
        <v>10524841.961030001</v>
      </c>
      <c r="H49" s="9">
        <v>10088906.416759999</v>
      </c>
      <c r="I49" s="9">
        <f t="shared" si="1"/>
        <v>72.455528201894197</v>
      </c>
      <c r="J49" s="9">
        <f t="shared" si="2"/>
        <v>95.852904000599992</v>
      </c>
    </row>
    <row r="50" spans="1:10">
      <c r="A50" s="8" t="s">
        <v>127</v>
      </c>
      <c r="B50" s="1" t="s">
        <v>110</v>
      </c>
      <c r="C50" s="1" t="s">
        <v>19</v>
      </c>
      <c r="D50" s="9">
        <v>2201901.6</v>
      </c>
      <c r="E50" s="9">
        <v>2204659.21215</v>
      </c>
      <c r="F50" s="9">
        <v>1616486.79794</v>
      </c>
      <c r="G50" s="9">
        <v>1616486.79794</v>
      </c>
      <c r="H50" s="9">
        <v>1616486.79794</v>
      </c>
      <c r="I50" s="9">
        <f t="shared" si="1"/>
        <v>73.321390854035442</v>
      </c>
      <c r="J50" s="9">
        <f t="shared" si="2"/>
        <v>100</v>
      </c>
    </row>
    <row r="51" spans="1:10">
      <c r="A51" s="8" t="s">
        <v>288</v>
      </c>
      <c r="B51" s="1" t="s">
        <v>110</v>
      </c>
      <c r="C51" s="1" t="s">
        <v>93</v>
      </c>
      <c r="D51" s="9">
        <v>108686.9</v>
      </c>
      <c r="E51" s="9">
        <v>110686.9</v>
      </c>
      <c r="F51" s="9">
        <v>83108.899999999994</v>
      </c>
      <c r="G51" s="9">
        <v>83108.899999999994</v>
      </c>
      <c r="H51" s="9">
        <v>83108.899999999994</v>
      </c>
      <c r="I51" s="9">
        <f t="shared" si="1"/>
        <v>75.084675783674498</v>
      </c>
      <c r="J51" s="9">
        <f t="shared" si="2"/>
        <v>100</v>
      </c>
    </row>
    <row r="52" spans="1:10">
      <c r="A52" s="8" t="s">
        <v>415</v>
      </c>
      <c r="B52" s="1" t="s">
        <v>110</v>
      </c>
      <c r="C52" s="1" t="s">
        <v>110</v>
      </c>
      <c r="D52" s="9">
        <v>446355.9</v>
      </c>
      <c r="E52" s="9">
        <v>522111.92307000002</v>
      </c>
      <c r="F52" s="9">
        <v>502071.80397000001</v>
      </c>
      <c r="G52" s="9">
        <v>502071.80397000001</v>
      </c>
      <c r="H52" s="9">
        <v>468253.83915999997</v>
      </c>
      <c r="I52" s="9">
        <f t="shared" si="1"/>
        <v>89.684571156062404</v>
      </c>
      <c r="J52" s="9">
        <f t="shared" si="2"/>
        <v>93.264317067281326</v>
      </c>
    </row>
    <row r="53" spans="1:10">
      <c r="A53" s="8" t="s">
        <v>420</v>
      </c>
      <c r="B53" s="1" t="s">
        <v>110</v>
      </c>
      <c r="C53" s="1" t="s">
        <v>130</v>
      </c>
      <c r="D53" s="9">
        <v>4202.8</v>
      </c>
      <c r="E53" s="9">
        <v>4502.7860000000001</v>
      </c>
      <c r="F53" s="9">
        <v>3357.7130000000002</v>
      </c>
      <c r="G53" s="9">
        <v>3357.7130000000002</v>
      </c>
      <c r="H53" s="9">
        <v>3357.7130000000002</v>
      </c>
      <c r="I53" s="9">
        <f t="shared" si="1"/>
        <v>74.569677528534555</v>
      </c>
      <c r="J53" s="9">
        <f t="shared" si="2"/>
        <v>100</v>
      </c>
    </row>
    <row r="54" spans="1:10">
      <c r="A54" s="8" t="s">
        <v>422</v>
      </c>
      <c r="B54" s="1" t="s">
        <v>110</v>
      </c>
      <c r="C54" s="1" t="s">
        <v>46</v>
      </c>
      <c r="D54" s="9">
        <v>695709.2</v>
      </c>
      <c r="E54" s="9">
        <v>736709.14673000004</v>
      </c>
      <c r="F54" s="9">
        <v>536022.47438000003</v>
      </c>
      <c r="G54" s="9">
        <v>536022.47438000003</v>
      </c>
      <c r="H54" s="9">
        <v>522950.91405000002</v>
      </c>
      <c r="I54" s="9">
        <f t="shared" si="1"/>
        <v>70.984718510853341</v>
      </c>
      <c r="J54" s="9">
        <f t="shared" si="2"/>
        <v>97.561378308788363</v>
      </c>
    </row>
    <row r="55" spans="1:10">
      <c r="A55" s="10" t="s">
        <v>0</v>
      </c>
      <c r="B55" s="6" t="s">
        <v>0</v>
      </c>
      <c r="C55" s="6" t="s">
        <v>0</v>
      </c>
      <c r="D55" s="11" t="s">
        <v>0</v>
      </c>
      <c r="E55" s="11" t="s">
        <v>0</v>
      </c>
      <c r="F55" s="11"/>
      <c r="G55" s="11"/>
      <c r="H55" s="11"/>
      <c r="I55" s="11"/>
      <c r="J55" s="11"/>
    </row>
    <row r="56" spans="1:10">
      <c r="A56" s="4" t="s">
        <v>129</v>
      </c>
      <c r="B56" s="5" t="s">
        <v>130</v>
      </c>
      <c r="C56" s="5" t="s">
        <v>0</v>
      </c>
      <c r="D56" s="7">
        <f>D57+D58</f>
        <v>711123</v>
      </c>
      <c r="E56" s="7">
        <f>E57+E58</f>
        <v>837011.65255</v>
      </c>
      <c r="F56" s="7">
        <f t="shared" ref="F56:H56" si="9">F57+F58</f>
        <v>611036.68991999992</v>
      </c>
      <c r="G56" s="7">
        <f t="shared" si="9"/>
        <v>606347.73473999999</v>
      </c>
      <c r="H56" s="7">
        <f t="shared" si="9"/>
        <v>605367.26746</v>
      </c>
      <c r="I56" s="7">
        <f t="shared" si="1"/>
        <v>72.324831514079506</v>
      </c>
      <c r="J56" s="7">
        <f t="shared" si="2"/>
        <v>99.072163332656473</v>
      </c>
    </row>
    <row r="57" spans="1:10">
      <c r="A57" s="8" t="s">
        <v>131</v>
      </c>
      <c r="B57" s="1" t="s">
        <v>130</v>
      </c>
      <c r="C57" s="1" t="s">
        <v>17</v>
      </c>
      <c r="D57" s="9">
        <v>673012.2</v>
      </c>
      <c r="E57" s="9">
        <v>790654.25254999998</v>
      </c>
      <c r="F57" s="9">
        <v>578925.25859999994</v>
      </c>
      <c r="G57" s="9">
        <v>574240.30342000001</v>
      </c>
      <c r="H57" s="9">
        <v>574215.20342000003</v>
      </c>
      <c r="I57" s="9">
        <f t="shared" si="1"/>
        <v>72.625322834608724</v>
      </c>
      <c r="J57" s="9">
        <f t="shared" si="2"/>
        <v>99.18641394376364</v>
      </c>
    </row>
    <row r="58" spans="1:10">
      <c r="A58" s="8" t="s">
        <v>380</v>
      </c>
      <c r="B58" s="1" t="s">
        <v>130</v>
      </c>
      <c r="C58" s="1" t="s">
        <v>19</v>
      </c>
      <c r="D58" s="9">
        <v>38110.800000000003</v>
      </c>
      <c r="E58" s="9">
        <v>46357.4</v>
      </c>
      <c r="F58" s="9">
        <v>32111.43132</v>
      </c>
      <c r="G58" s="9">
        <v>32107.43132</v>
      </c>
      <c r="H58" s="9">
        <v>31152.064040000001</v>
      </c>
      <c r="I58" s="9">
        <f t="shared" si="1"/>
        <v>67.199765388050238</v>
      </c>
      <c r="J58" s="9">
        <f t="shared" si="2"/>
        <v>97.012380823390842</v>
      </c>
    </row>
    <row r="59" spans="1:10">
      <c r="A59" s="10" t="s">
        <v>0</v>
      </c>
      <c r="B59" s="6" t="s">
        <v>0</v>
      </c>
      <c r="C59" s="6" t="s">
        <v>0</v>
      </c>
      <c r="D59" s="11" t="s">
        <v>0</v>
      </c>
      <c r="E59" s="11" t="s">
        <v>0</v>
      </c>
      <c r="F59" s="11"/>
      <c r="G59" s="11"/>
      <c r="H59" s="11"/>
      <c r="I59" s="11"/>
      <c r="J59" s="11"/>
    </row>
    <row r="60" spans="1:10">
      <c r="A60" s="4" t="s">
        <v>134</v>
      </c>
      <c r="B60" s="5" t="s">
        <v>46</v>
      </c>
      <c r="C60" s="5" t="s">
        <v>0</v>
      </c>
      <c r="D60" s="7">
        <f>SUM(D61:D66)</f>
        <v>12071308.800000001</v>
      </c>
      <c r="E60" s="7">
        <f>SUM(E61:E66)</f>
        <v>12488526.519250002</v>
      </c>
      <c r="F60" s="7">
        <f t="shared" ref="F60:H60" si="10">SUM(F61:F66)</f>
        <v>9191511.0850600004</v>
      </c>
      <c r="G60" s="7">
        <f t="shared" si="10"/>
        <v>9191511.0850600004</v>
      </c>
      <c r="H60" s="7">
        <f t="shared" si="10"/>
        <v>9180444.1130799986</v>
      </c>
      <c r="I60" s="7">
        <f t="shared" si="1"/>
        <v>73.511027092981109</v>
      </c>
      <c r="J60" s="7">
        <f t="shared" si="2"/>
        <v>99.879595728302064</v>
      </c>
    </row>
    <row r="61" spans="1:10">
      <c r="A61" s="8" t="s">
        <v>135</v>
      </c>
      <c r="B61" s="1" t="s">
        <v>46</v>
      </c>
      <c r="C61" s="1" t="s">
        <v>17</v>
      </c>
      <c r="D61" s="9">
        <v>2279933.9</v>
      </c>
      <c r="E61" s="9">
        <v>2336159.4397700001</v>
      </c>
      <c r="F61" s="9">
        <v>1562661.07577</v>
      </c>
      <c r="G61" s="9">
        <v>1562661.07577</v>
      </c>
      <c r="H61" s="9">
        <f>1562661.07577+24.96223</f>
        <v>1562686.0379999999</v>
      </c>
      <c r="I61" s="9">
        <f t="shared" si="1"/>
        <v>66.89124087154984</v>
      </c>
      <c r="J61" s="9">
        <f t="shared" si="2"/>
        <v>100.00159741804457</v>
      </c>
    </row>
    <row r="62" spans="1:10">
      <c r="A62" s="8" t="s">
        <v>305</v>
      </c>
      <c r="B62" s="1" t="s">
        <v>46</v>
      </c>
      <c r="C62" s="1" t="s">
        <v>106</v>
      </c>
      <c r="D62" s="22">
        <v>854900.3</v>
      </c>
      <c r="E62" s="9">
        <v>1197050.4431400001</v>
      </c>
      <c r="F62" s="9">
        <v>954775.95267999999</v>
      </c>
      <c r="G62" s="9">
        <v>954775.95267999999</v>
      </c>
      <c r="H62" s="9">
        <v>954775.95267999999</v>
      </c>
      <c r="I62" s="9">
        <f t="shared" si="1"/>
        <v>79.760711685258102</v>
      </c>
      <c r="J62" s="9">
        <f t="shared" si="2"/>
        <v>100</v>
      </c>
    </row>
    <row r="63" spans="1:10">
      <c r="A63" s="8" t="s">
        <v>315</v>
      </c>
      <c r="B63" s="1" t="s">
        <v>46</v>
      </c>
      <c r="C63" s="1" t="s">
        <v>19</v>
      </c>
      <c r="D63" s="9">
        <v>71013.899999999994</v>
      </c>
      <c r="E63" s="9">
        <v>71326.399999999994</v>
      </c>
      <c r="F63" s="9">
        <v>46858.6</v>
      </c>
      <c r="G63" s="9">
        <v>46858.6</v>
      </c>
      <c r="H63" s="9">
        <v>46858.6</v>
      </c>
      <c r="I63" s="9">
        <f t="shared" si="1"/>
        <v>65.696011574956827</v>
      </c>
      <c r="J63" s="9">
        <f t="shared" si="2"/>
        <v>100</v>
      </c>
    </row>
    <row r="64" spans="1:10">
      <c r="A64" s="8" t="s">
        <v>317</v>
      </c>
      <c r="B64" s="1" t="s">
        <v>46</v>
      </c>
      <c r="C64" s="1" t="s">
        <v>93</v>
      </c>
      <c r="D64" s="9">
        <v>148228.9</v>
      </c>
      <c r="E64" s="9">
        <v>150313.70000000001</v>
      </c>
      <c r="F64" s="9">
        <v>110461.4</v>
      </c>
      <c r="G64" s="9">
        <v>110461.4</v>
      </c>
      <c r="H64" s="9">
        <v>110461.4</v>
      </c>
      <c r="I64" s="9">
        <f t="shared" si="1"/>
        <v>73.487247004098748</v>
      </c>
      <c r="J64" s="9">
        <f t="shared" si="2"/>
        <v>100</v>
      </c>
    </row>
    <row r="65" spans="1:10" ht="25.5">
      <c r="A65" s="8" t="s">
        <v>321</v>
      </c>
      <c r="B65" s="1" t="s">
        <v>46</v>
      </c>
      <c r="C65" s="1" t="s">
        <v>32</v>
      </c>
      <c r="D65" s="9">
        <v>122130.2</v>
      </c>
      <c r="E65" s="9">
        <v>122130.2</v>
      </c>
      <c r="F65" s="9">
        <v>91597.7</v>
      </c>
      <c r="G65" s="9">
        <v>91597.7</v>
      </c>
      <c r="H65" s="9">
        <v>91597.7</v>
      </c>
      <c r="I65" s="9">
        <f t="shared" si="1"/>
        <v>75.000040939914953</v>
      </c>
      <c r="J65" s="9">
        <f t="shared" si="2"/>
        <v>100</v>
      </c>
    </row>
    <row r="66" spans="1:10">
      <c r="A66" s="8" t="s">
        <v>322</v>
      </c>
      <c r="B66" s="1" t="s">
        <v>46</v>
      </c>
      <c r="C66" s="1" t="s">
        <v>46</v>
      </c>
      <c r="D66" s="9">
        <v>8595101.5999999996</v>
      </c>
      <c r="E66" s="9">
        <v>8611546.3363400009</v>
      </c>
      <c r="F66" s="9">
        <v>6425156.3566100001</v>
      </c>
      <c r="G66" s="9">
        <v>6425156.3566100001</v>
      </c>
      <c r="H66" s="9">
        <v>6414064.4223999996</v>
      </c>
      <c r="I66" s="9">
        <f t="shared" si="1"/>
        <v>74.482144923649628</v>
      </c>
      <c r="J66" s="9">
        <f t="shared" si="2"/>
        <v>99.827367092808728</v>
      </c>
    </row>
    <row r="67" spans="1:10">
      <c r="A67" s="10" t="s">
        <v>0</v>
      </c>
      <c r="B67" s="6" t="s">
        <v>0</v>
      </c>
      <c r="C67" s="6" t="s">
        <v>0</v>
      </c>
      <c r="D67" s="11" t="s">
        <v>0</v>
      </c>
      <c r="E67" s="11" t="s">
        <v>0</v>
      </c>
      <c r="F67" s="11"/>
      <c r="G67" s="11"/>
      <c r="H67" s="11"/>
      <c r="I67" s="11"/>
      <c r="J67" s="11"/>
    </row>
    <row r="68" spans="1:10">
      <c r="A68" s="4" t="s">
        <v>147</v>
      </c>
      <c r="B68" s="5" t="s">
        <v>148</v>
      </c>
      <c r="C68" s="5" t="s">
        <v>0</v>
      </c>
      <c r="D68" s="7">
        <f>SUM(D69:D73)</f>
        <v>12169593.9</v>
      </c>
      <c r="E68" s="7">
        <f>SUM(E69:E73)</f>
        <v>12309774.983860001</v>
      </c>
      <c r="F68" s="7">
        <f t="shared" ref="F68:H68" si="11">SUM(F69:F73)</f>
        <v>9315175.8012800012</v>
      </c>
      <c r="G68" s="7">
        <f t="shared" si="11"/>
        <v>9312899.7676100004</v>
      </c>
      <c r="H68" s="7">
        <f t="shared" si="11"/>
        <v>9191773.6739500016</v>
      </c>
      <c r="I68" s="7">
        <f t="shared" si="1"/>
        <v>74.670525545770118</v>
      </c>
      <c r="J68" s="7">
        <f t="shared" si="2"/>
        <v>98.675257129199395</v>
      </c>
    </row>
    <row r="69" spans="1:10">
      <c r="A69" s="8" t="s">
        <v>764</v>
      </c>
      <c r="B69" s="1" t="s">
        <v>148</v>
      </c>
      <c r="C69" s="1" t="s">
        <v>17</v>
      </c>
      <c r="D69" s="9">
        <v>53766.7</v>
      </c>
      <c r="E69" s="9">
        <v>53766.720000000001</v>
      </c>
      <c r="F69" s="9">
        <v>40420.440999999999</v>
      </c>
      <c r="G69" s="9">
        <v>40420.440999999999</v>
      </c>
      <c r="H69" s="9">
        <v>40380.779829999999</v>
      </c>
      <c r="I69" s="9">
        <f t="shared" si="1"/>
        <v>75.103669760773954</v>
      </c>
      <c r="J69" s="9">
        <f t="shared" si="2"/>
        <v>99.901878433241237</v>
      </c>
    </row>
    <row r="70" spans="1:10">
      <c r="A70" s="8" t="s">
        <v>769</v>
      </c>
      <c r="B70" s="1" t="s">
        <v>148</v>
      </c>
      <c r="C70" s="1" t="s">
        <v>106</v>
      </c>
      <c r="D70" s="9">
        <v>2088513.6</v>
      </c>
      <c r="E70" s="9">
        <v>2091388.4678</v>
      </c>
      <c r="F70" s="9">
        <v>1551407.416</v>
      </c>
      <c r="G70" s="9">
        <v>1551336.716</v>
      </c>
      <c r="H70" s="9">
        <v>1537383.56021</v>
      </c>
      <c r="I70" s="9">
        <f t="shared" si="1"/>
        <v>73.510186360892789</v>
      </c>
      <c r="J70" s="9">
        <f t="shared" si="2"/>
        <v>99.096055900895607</v>
      </c>
    </row>
    <row r="71" spans="1:10">
      <c r="A71" s="8" t="s">
        <v>149</v>
      </c>
      <c r="B71" s="1" t="s">
        <v>148</v>
      </c>
      <c r="C71" s="1" t="s">
        <v>150</v>
      </c>
      <c r="D71" s="9">
        <v>7143783.2000000002</v>
      </c>
      <c r="E71" s="9">
        <v>7279967.3774199998</v>
      </c>
      <c r="F71" s="9">
        <v>5648424.8160100002</v>
      </c>
      <c r="G71" s="9">
        <v>5646219.4823399996</v>
      </c>
      <c r="H71" s="9">
        <v>5580760.0286100004</v>
      </c>
      <c r="I71" s="9">
        <f t="shared" si="1"/>
        <v>76.659135120847282</v>
      </c>
      <c r="J71" s="9">
        <f t="shared" si="2"/>
        <v>98.802059165093084</v>
      </c>
    </row>
    <row r="72" spans="1:10">
      <c r="A72" s="8" t="s">
        <v>454</v>
      </c>
      <c r="B72" s="1" t="s">
        <v>148</v>
      </c>
      <c r="C72" s="1" t="s">
        <v>19</v>
      </c>
      <c r="D72" s="9">
        <v>2695910.6</v>
      </c>
      <c r="E72" s="9">
        <v>2695910.5386399999</v>
      </c>
      <c r="F72" s="9">
        <v>1944164.1422900001</v>
      </c>
      <c r="G72" s="9">
        <v>1944164.1422900001</v>
      </c>
      <c r="H72" s="9">
        <v>1911836.7719399999</v>
      </c>
      <c r="I72" s="9">
        <f t="shared" si="1"/>
        <v>70.916180063766504</v>
      </c>
      <c r="J72" s="9">
        <f t="shared" si="2"/>
        <v>98.337209824684749</v>
      </c>
    </row>
    <row r="73" spans="1:10">
      <c r="A73" s="8" t="s">
        <v>477</v>
      </c>
      <c r="B73" s="1" t="s">
        <v>148</v>
      </c>
      <c r="C73" s="1" t="s">
        <v>32</v>
      </c>
      <c r="D73" s="9">
        <v>187619.8</v>
      </c>
      <c r="E73" s="9">
        <v>188741.88</v>
      </c>
      <c r="F73" s="9">
        <f>131118.98598-360</f>
        <v>130758.98598</v>
      </c>
      <c r="G73" s="9">
        <v>130758.98598</v>
      </c>
      <c r="H73" s="9">
        <v>121412.53336</v>
      </c>
      <c r="I73" s="9">
        <f t="shared" si="1"/>
        <v>64.327288336854551</v>
      </c>
      <c r="J73" s="9">
        <f t="shared" si="2"/>
        <v>92.852152722085521</v>
      </c>
    </row>
    <row r="74" spans="1:10">
      <c r="A74" s="10" t="s">
        <v>0</v>
      </c>
      <c r="B74" s="6" t="s">
        <v>0</v>
      </c>
      <c r="C74" s="6" t="s">
        <v>0</v>
      </c>
      <c r="D74" s="11" t="s">
        <v>0</v>
      </c>
      <c r="E74" s="11" t="s">
        <v>0</v>
      </c>
      <c r="F74" s="11"/>
      <c r="G74" s="11"/>
      <c r="H74" s="11"/>
      <c r="I74" s="11"/>
      <c r="J74" s="11"/>
    </row>
    <row r="75" spans="1:10">
      <c r="A75" s="4" t="s">
        <v>153</v>
      </c>
      <c r="B75" s="5" t="s">
        <v>154</v>
      </c>
      <c r="C75" s="5" t="s">
        <v>0</v>
      </c>
      <c r="D75" s="7">
        <f>D76+D77</f>
        <v>499138.6</v>
      </c>
      <c r="E75" s="7">
        <f>E76+E77</f>
        <v>524035.00117</v>
      </c>
      <c r="F75" s="7">
        <f t="shared" ref="F75:H75" si="12">F76+F77</f>
        <v>418183.23790000001</v>
      </c>
      <c r="G75" s="7">
        <f t="shared" si="12"/>
        <v>416183.23790000001</v>
      </c>
      <c r="H75" s="7">
        <f t="shared" si="12"/>
        <v>408314.53719</v>
      </c>
      <c r="I75" s="7">
        <f t="shared" si="1"/>
        <v>77.917417019543777</v>
      </c>
      <c r="J75" s="7">
        <f t="shared" si="2"/>
        <v>97.64010132028298</v>
      </c>
    </row>
    <row r="76" spans="1:10">
      <c r="A76" s="8" t="s">
        <v>155</v>
      </c>
      <c r="B76" s="1" t="s">
        <v>154</v>
      </c>
      <c r="C76" s="1" t="s">
        <v>106</v>
      </c>
      <c r="D76" s="9">
        <v>119991</v>
      </c>
      <c r="E76" s="9">
        <v>148271.76117000001</v>
      </c>
      <c r="F76" s="9">
        <v>123137.3979</v>
      </c>
      <c r="G76" s="9">
        <v>121137.3979</v>
      </c>
      <c r="H76" s="9">
        <v>113273.09719</v>
      </c>
      <c r="I76" s="9">
        <f t="shared" ref="I76:I91" si="13">H76/E76*100</f>
        <v>76.395597041656146</v>
      </c>
      <c r="J76" s="9">
        <f t="shared" ref="J76:J91" si="14">H76/F76*100</f>
        <v>91.989191847296624</v>
      </c>
    </row>
    <row r="77" spans="1:10">
      <c r="A77" s="8" t="s">
        <v>931</v>
      </c>
      <c r="B77" s="1" t="s">
        <v>154</v>
      </c>
      <c r="C77" s="1" t="s">
        <v>150</v>
      </c>
      <c r="D77" s="9">
        <v>379147.6</v>
      </c>
      <c r="E77" s="9">
        <v>375763.24</v>
      </c>
      <c r="F77" s="9">
        <v>295045.84000000003</v>
      </c>
      <c r="G77" s="9">
        <v>295045.84000000003</v>
      </c>
      <c r="H77" s="9">
        <v>295041.44</v>
      </c>
      <c r="I77" s="9">
        <f t="shared" si="13"/>
        <v>78.517909309063867</v>
      </c>
      <c r="J77" s="9">
        <f t="shared" si="14"/>
        <v>99.998508706308144</v>
      </c>
    </row>
    <row r="78" spans="1:10">
      <c r="A78" s="10" t="s">
        <v>0</v>
      </c>
      <c r="B78" s="6" t="s">
        <v>0</v>
      </c>
      <c r="C78" s="6" t="s">
        <v>0</v>
      </c>
      <c r="D78" s="11" t="s">
        <v>0</v>
      </c>
      <c r="E78" s="11"/>
      <c r="F78" s="11"/>
      <c r="G78" s="11"/>
      <c r="H78" s="11"/>
      <c r="I78" s="11"/>
      <c r="J78" s="11"/>
    </row>
    <row r="79" spans="1:10">
      <c r="A79" s="4" t="s">
        <v>1068</v>
      </c>
      <c r="B79" s="5" t="s">
        <v>51</v>
      </c>
      <c r="C79" s="5" t="s">
        <v>0</v>
      </c>
      <c r="D79" s="7">
        <f>D80+D81</f>
        <v>92752.4</v>
      </c>
      <c r="E79" s="7">
        <f>E80+E81</f>
        <v>92752.4</v>
      </c>
      <c r="F79" s="7">
        <f t="shared" ref="F79:H79" si="15">F80+F81</f>
        <v>64423.8</v>
      </c>
      <c r="G79" s="7">
        <f t="shared" si="15"/>
        <v>64423.8</v>
      </c>
      <c r="H79" s="7">
        <f t="shared" si="15"/>
        <v>59827.536630000002</v>
      </c>
      <c r="I79" s="7">
        <f t="shared" si="13"/>
        <v>64.502413554797513</v>
      </c>
      <c r="J79" s="7">
        <f t="shared" si="14"/>
        <v>92.865581710485884</v>
      </c>
    </row>
    <row r="80" spans="1:10">
      <c r="A80" s="8" t="s">
        <v>1069</v>
      </c>
      <c r="B80" s="1" t="s">
        <v>51</v>
      </c>
      <c r="C80" s="1" t="s">
        <v>106</v>
      </c>
      <c r="D80" s="9">
        <v>46177.7</v>
      </c>
      <c r="E80" s="9">
        <v>46177.7</v>
      </c>
      <c r="F80" s="9">
        <v>34991.800000000003</v>
      </c>
      <c r="G80" s="9">
        <v>34991.800000000003</v>
      </c>
      <c r="H80" s="9">
        <v>34991.800000000003</v>
      </c>
      <c r="I80" s="9">
        <f t="shared" si="13"/>
        <v>75.776402895770048</v>
      </c>
      <c r="J80" s="9">
        <f t="shared" si="14"/>
        <v>100</v>
      </c>
    </row>
    <row r="81" spans="1:10">
      <c r="A81" s="8" t="s">
        <v>1073</v>
      </c>
      <c r="B81" s="1" t="s">
        <v>51</v>
      </c>
      <c r="C81" s="1" t="s">
        <v>19</v>
      </c>
      <c r="D81" s="9">
        <v>46574.7</v>
      </c>
      <c r="E81" s="9">
        <v>46574.7</v>
      </c>
      <c r="F81" s="9">
        <v>29432</v>
      </c>
      <c r="G81" s="9">
        <v>29432</v>
      </c>
      <c r="H81" s="9">
        <v>24835.736629999999</v>
      </c>
      <c r="I81" s="9">
        <f t="shared" si="13"/>
        <v>53.324523035038339</v>
      </c>
      <c r="J81" s="9">
        <f t="shared" si="14"/>
        <v>84.383448729274264</v>
      </c>
    </row>
    <row r="82" spans="1:10">
      <c r="A82" s="10" t="s">
        <v>0</v>
      </c>
      <c r="B82" s="6" t="s">
        <v>0</v>
      </c>
      <c r="C82" s="6" t="s">
        <v>0</v>
      </c>
      <c r="D82" s="11" t="s">
        <v>0</v>
      </c>
      <c r="E82" s="11" t="s">
        <v>0</v>
      </c>
      <c r="F82" s="11"/>
      <c r="G82" s="11"/>
      <c r="H82" s="11"/>
      <c r="I82" s="11"/>
      <c r="J82" s="11"/>
    </row>
    <row r="83" spans="1:10">
      <c r="A83" s="4" t="s">
        <v>626</v>
      </c>
      <c r="B83" s="5" t="s">
        <v>387</v>
      </c>
      <c r="C83" s="5" t="s">
        <v>0</v>
      </c>
      <c r="D83" s="7">
        <f>D84</f>
        <v>1332183.1000000001</v>
      </c>
      <c r="E83" s="7">
        <f>E84</f>
        <v>1332183.1000000001</v>
      </c>
      <c r="F83" s="7">
        <f t="shared" ref="F83:H83" si="16">F84</f>
        <v>801276.99720999994</v>
      </c>
      <c r="G83" s="7">
        <f t="shared" si="16"/>
        <v>801276.99720999994</v>
      </c>
      <c r="H83" s="7">
        <f t="shared" si="16"/>
        <v>801276.99720999994</v>
      </c>
      <c r="I83" s="7">
        <f t="shared" si="13"/>
        <v>60.147662675648704</v>
      </c>
      <c r="J83" s="7">
        <f t="shared" si="14"/>
        <v>100</v>
      </c>
    </row>
    <row r="84" spans="1:10">
      <c r="A84" s="8" t="s">
        <v>627</v>
      </c>
      <c r="B84" s="1" t="s">
        <v>387</v>
      </c>
      <c r="C84" s="1" t="s">
        <v>17</v>
      </c>
      <c r="D84" s="9">
        <v>1332183.1000000001</v>
      </c>
      <c r="E84" s="9">
        <v>1332183.1000000001</v>
      </c>
      <c r="F84" s="9">
        <v>801276.99720999994</v>
      </c>
      <c r="G84" s="9">
        <v>801276.99720999994</v>
      </c>
      <c r="H84" s="9">
        <v>801276.99720999994</v>
      </c>
      <c r="I84" s="9">
        <f t="shared" si="13"/>
        <v>60.147662675648704</v>
      </c>
      <c r="J84" s="9">
        <f t="shared" si="14"/>
        <v>100</v>
      </c>
    </row>
    <row r="85" spans="1:10">
      <c r="A85" s="10" t="s">
        <v>0</v>
      </c>
      <c r="B85" s="6" t="s">
        <v>0</v>
      </c>
      <c r="C85" s="6" t="s">
        <v>0</v>
      </c>
      <c r="D85" s="11" t="s">
        <v>0</v>
      </c>
      <c r="E85" s="11" t="s">
        <v>0</v>
      </c>
      <c r="F85" s="11"/>
      <c r="G85" s="11"/>
      <c r="H85" s="11"/>
      <c r="I85" s="11"/>
      <c r="J85" s="11"/>
    </row>
    <row r="86" spans="1:10" ht="25.5">
      <c r="A86" s="4" t="s">
        <v>640</v>
      </c>
      <c r="B86" s="5" t="s">
        <v>641</v>
      </c>
      <c r="C86" s="5" t="s">
        <v>0</v>
      </c>
      <c r="D86" s="7">
        <v>3480694.5</v>
      </c>
      <c r="E86" s="7">
        <f>E87+E88+E89</f>
        <v>3482440.3</v>
      </c>
      <c r="F86" s="7">
        <f t="shared" ref="F86:H86" si="17">F87+F88+F89</f>
        <v>2544646.8710000003</v>
      </c>
      <c r="G86" s="7">
        <f t="shared" si="17"/>
        <v>2543855.017</v>
      </c>
      <c r="H86" s="7">
        <f t="shared" si="17"/>
        <v>2543855.017</v>
      </c>
      <c r="I86" s="7">
        <f t="shared" si="13"/>
        <v>73.048058196431981</v>
      </c>
      <c r="J86" s="7">
        <f t="shared" si="14"/>
        <v>99.968881576102973</v>
      </c>
    </row>
    <row r="87" spans="1:10" ht="25.5">
      <c r="A87" s="8" t="s">
        <v>642</v>
      </c>
      <c r="B87" s="1" t="s">
        <v>641</v>
      </c>
      <c r="C87" s="1" t="s">
        <v>17</v>
      </c>
      <c r="D87" s="9">
        <v>1220429</v>
      </c>
      <c r="E87" s="9">
        <v>1220429</v>
      </c>
      <c r="F87" s="9">
        <v>946453</v>
      </c>
      <c r="G87" s="9">
        <v>946453</v>
      </c>
      <c r="H87" s="9">
        <v>946453</v>
      </c>
      <c r="I87" s="9">
        <f t="shared" si="13"/>
        <v>77.550844825876794</v>
      </c>
      <c r="J87" s="9">
        <f t="shared" si="14"/>
        <v>100</v>
      </c>
    </row>
    <row r="88" spans="1:10">
      <c r="A88" s="8" t="s">
        <v>651</v>
      </c>
      <c r="B88" s="1" t="s">
        <v>641</v>
      </c>
      <c r="C88" s="1" t="s">
        <v>106</v>
      </c>
      <c r="D88" s="9">
        <v>267955.5</v>
      </c>
      <c r="E88" s="9">
        <v>267955.5</v>
      </c>
      <c r="F88" s="9">
        <v>112657.7</v>
      </c>
      <c r="G88" s="9">
        <v>112657.7</v>
      </c>
      <c r="H88" s="9">
        <v>112657.7</v>
      </c>
      <c r="I88" s="9">
        <f t="shared" si="13"/>
        <v>42.043436316851121</v>
      </c>
      <c r="J88" s="9">
        <f t="shared" si="14"/>
        <v>100</v>
      </c>
    </row>
    <row r="89" spans="1:10">
      <c r="A89" s="8" t="s">
        <v>656</v>
      </c>
      <c r="B89" s="1" t="s">
        <v>641</v>
      </c>
      <c r="C89" s="1" t="s">
        <v>150</v>
      </c>
      <c r="D89" s="9">
        <v>1992310</v>
      </c>
      <c r="E89" s="9">
        <v>1994055.8</v>
      </c>
      <c r="F89" s="9">
        <v>1485536.1710000001</v>
      </c>
      <c r="G89" s="9">
        <v>1484744.317</v>
      </c>
      <c r="H89" s="9">
        <v>1484744.317</v>
      </c>
      <c r="I89" s="9">
        <f t="shared" si="13"/>
        <v>74.458513999457793</v>
      </c>
      <c r="J89" s="9">
        <f t="shared" si="14"/>
        <v>99.946695744239804</v>
      </c>
    </row>
    <row r="90" spans="1:10">
      <c r="A90" s="12" t="s">
        <v>0</v>
      </c>
      <c r="B90" s="13" t="s">
        <v>0</v>
      </c>
      <c r="C90" s="13" t="s">
        <v>0</v>
      </c>
      <c r="D90" s="14" t="s">
        <v>0</v>
      </c>
      <c r="E90" s="14" t="s">
        <v>0</v>
      </c>
      <c r="F90" s="14"/>
      <c r="G90" s="14"/>
      <c r="H90" s="14"/>
      <c r="I90" s="14"/>
      <c r="J90" s="14"/>
    </row>
    <row r="91" spans="1:10">
      <c r="A91" s="4" t="s">
        <v>1102</v>
      </c>
      <c r="B91" s="5" t="s">
        <v>0</v>
      </c>
      <c r="C91" s="5" t="s">
        <v>0</v>
      </c>
      <c r="D91" s="7">
        <f>D9+D20+D23+D27+D38+D44+D47+D56+D60+D68+D75+D79+D83+D86</f>
        <v>69335157.5</v>
      </c>
      <c r="E91" s="7">
        <f>E9+E20+E23+E27+E38+E44+E47+E56+E60+E68+E75+E79+E83+E86</f>
        <v>70714783.753949985</v>
      </c>
      <c r="F91" s="7">
        <f t="shared" ref="F91:H91" si="18">F9+F20+F23+F27+F38+F44+F47+F56+F60+F68+F75+F79+F83+F86</f>
        <v>50137542.954929993</v>
      </c>
      <c r="G91" s="7">
        <f t="shared" si="18"/>
        <v>50074927.129749991</v>
      </c>
      <c r="H91" s="7">
        <f t="shared" si="18"/>
        <v>49251332.542349994</v>
      </c>
      <c r="I91" s="7">
        <f t="shared" si="13"/>
        <v>69.647858520954486</v>
      </c>
      <c r="J91" s="7">
        <f t="shared" si="14"/>
        <v>98.232441479279032</v>
      </c>
    </row>
  </sheetData>
  <mergeCells count="11">
    <mergeCell ref="F1:J1"/>
    <mergeCell ref="H6:H7"/>
    <mergeCell ref="I6:J6"/>
    <mergeCell ref="A6:A7"/>
    <mergeCell ref="B6:B7"/>
    <mergeCell ref="C6:C7"/>
    <mergeCell ref="D6:D7"/>
    <mergeCell ref="E6:E7"/>
    <mergeCell ref="F6:F7"/>
    <mergeCell ref="G6:G7"/>
    <mergeCell ref="A3:J3"/>
  </mergeCells>
  <pageMargins left="1.1811023622047245" right="0.59055118110236227" top="0.78740157480314965" bottom="0.94488188976377963" header="0.31496062992125984" footer="0.31496062992125984"/>
  <pageSetup paperSize="9" scale="6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991"/>
  <sheetViews>
    <sheetView view="pageBreakPreview" zoomScaleSheetLayoutView="100" workbookViewId="0">
      <pane xSplit="1" ySplit="7" topLeftCell="C2983" activePane="bottomRight" state="frozen"/>
      <selection pane="topRight" activeCell="B1" sqref="B1"/>
      <selection pane="bottomLeft" activeCell="A8" sqref="A8"/>
      <selection pane="bottomRight" activeCell="A2992" sqref="A2992:XFD2995"/>
    </sheetView>
  </sheetViews>
  <sheetFormatPr defaultRowHeight="12.75"/>
  <cols>
    <col min="1" max="1" width="54.6640625" style="52" customWidth="1"/>
    <col min="2" max="2" width="5.6640625" style="52" customWidth="1"/>
    <col min="3" max="3" width="5.1640625" style="52" customWidth="1"/>
    <col min="4" max="4" width="5.5" style="52" customWidth="1"/>
    <col min="5" max="5" width="14.1640625" style="52" customWidth="1"/>
    <col min="6" max="6" width="5.1640625" style="52" customWidth="1"/>
    <col min="7" max="7" width="18" style="52" customWidth="1"/>
    <col min="8" max="8" width="21.33203125" style="80" customWidth="1"/>
    <col min="9" max="9" width="19.33203125" style="52" customWidth="1"/>
    <col min="10" max="10" width="19.83203125" style="52" customWidth="1"/>
    <col min="11" max="11" width="21.5" style="80" customWidth="1"/>
    <col min="12" max="12" width="16.33203125" style="52" customWidth="1"/>
    <col min="13" max="13" width="16.6640625" style="52" customWidth="1"/>
  </cols>
  <sheetData>
    <row r="1" spans="1:13" ht="52.5" customHeight="1">
      <c r="A1" s="51" t="s">
        <v>0</v>
      </c>
      <c r="F1" s="115"/>
      <c r="G1" s="115"/>
      <c r="J1" s="119" t="s">
        <v>1220</v>
      </c>
      <c r="K1" s="119"/>
      <c r="L1" s="119"/>
      <c r="M1" s="119"/>
    </row>
    <row r="2" spans="1:13" ht="17.25" customHeight="1">
      <c r="A2" s="51"/>
      <c r="F2" s="53"/>
      <c r="G2" s="53"/>
    </row>
    <row r="3" spans="1:13" ht="18.75" customHeight="1">
      <c r="A3" s="116" t="s">
        <v>1221</v>
      </c>
      <c r="B3" s="117"/>
      <c r="C3" s="117"/>
      <c r="D3" s="117"/>
      <c r="E3" s="117"/>
      <c r="F3" s="117"/>
      <c r="G3" s="117"/>
      <c r="H3" s="118"/>
      <c r="I3" s="118"/>
      <c r="J3" s="118"/>
      <c r="K3" s="118"/>
      <c r="L3" s="118"/>
      <c r="M3" s="118"/>
    </row>
    <row r="4" spans="1:13" ht="13.5" customHeight="1">
      <c r="A4" s="54"/>
      <c r="B4" s="54"/>
      <c r="C4" s="54"/>
      <c r="D4" s="54"/>
      <c r="E4" s="54"/>
      <c r="F4" s="54"/>
      <c r="G4" s="54"/>
    </row>
    <row r="5" spans="1:13" ht="30.75" customHeight="1">
      <c r="A5" s="120" t="s">
        <v>1</v>
      </c>
      <c r="B5" s="120" t="s">
        <v>2</v>
      </c>
      <c r="C5" s="120" t="s">
        <v>3</v>
      </c>
      <c r="D5" s="120" t="s">
        <v>4</v>
      </c>
      <c r="E5" s="120" t="s">
        <v>5</v>
      </c>
      <c r="F5" s="120" t="s">
        <v>6</v>
      </c>
      <c r="G5" s="108" t="s">
        <v>1252</v>
      </c>
      <c r="H5" s="110" t="s">
        <v>1213</v>
      </c>
      <c r="I5" s="102" t="s">
        <v>1214</v>
      </c>
      <c r="J5" s="102" t="s">
        <v>1106</v>
      </c>
      <c r="K5" s="110" t="s">
        <v>1215</v>
      </c>
      <c r="L5" s="104" t="s">
        <v>1216</v>
      </c>
      <c r="M5" s="105"/>
    </row>
    <row r="6" spans="1:13" ht="115.5" customHeight="1">
      <c r="A6" s="121"/>
      <c r="B6" s="121"/>
      <c r="C6" s="121"/>
      <c r="D6" s="121"/>
      <c r="E6" s="121"/>
      <c r="F6" s="121"/>
      <c r="G6" s="109"/>
      <c r="H6" s="111"/>
      <c r="I6" s="103"/>
      <c r="J6" s="103"/>
      <c r="K6" s="111"/>
      <c r="L6" s="87" t="s">
        <v>1107</v>
      </c>
      <c r="M6" s="87" t="s">
        <v>1217</v>
      </c>
    </row>
    <row r="7" spans="1:13">
      <c r="A7" s="55" t="s">
        <v>7</v>
      </c>
      <c r="B7" s="55" t="s">
        <v>8</v>
      </c>
      <c r="C7" s="55" t="s">
        <v>9</v>
      </c>
      <c r="D7" s="55" t="s">
        <v>10</v>
      </c>
      <c r="E7" s="55" t="s">
        <v>11</v>
      </c>
      <c r="F7" s="55" t="s">
        <v>12</v>
      </c>
      <c r="G7" s="55" t="s">
        <v>13</v>
      </c>
      <c r="H7" s="94">
        <v>8</v>
      </c>
      <c r="I7" s="55">
        <v>9</v>
      </c>
      <c r="J7" s="55">
        <v>10</v>
      </c>
      <c r="K7" s="94">
        <v>11</v>
      </c>
      <c r="L7" s="55">
        <v>12</v>
      </c>
      <c r="M7" s="55">
        <v>13</v>
      </c>
    </row>
    <row r="8" spans="1:13" ht="25.5">
      <c r="A8" s="56" t="s">
        <v>14</v>
      </c>
      <c r="B8" s="57" t="s">
        <v>15</v>
      </c>
      <c r="C8" s="58" t="s">
        <v>0</v>
      </c>
      <c r="D8" s="58" t="s">
        <v>0</v>
      </c>
      <c r="E8" s="58" t="s">
        <v>0</v>
      </c>
      <c r="F8" s="58" t="s">
        <v>0</v>
      </c>
      <c r="G8" s="30">
        <f>G9+G17+G79+G111+G164+G187+G202+G210</f>
        <v>2037174.7899999996</v>
      </c>
      <c r="H8" s="30">
        <f>H9+H17+H79+H111+H164+H187+H202+H210</f>
        <v>2894480.3628999996</v>
      </c>
      <c r="I8" s="30">
        <f>I9+I17+I79+I111+I164+I187+I202+I210</f>
        <v>1375024.97132</v>
      </c>
      <c r="J8" s="30">
        <f>J9+J17+J79+J111+J164+J187+J202+J210</f>
        <v>1367023.64588</v>
      </c>
      <c r="K8" s="30">
        <f>K9+K17+K79+K111+K164+K187+K202+K210</f>
        <v>1358857.44031</v>
      </c>
      <c r="L8" s="30">
        <f>K8/H8*100</f>
        <v>46.946507488085061</v>
      </c>
      <c r="M8" s="30">
        <f>K8/I8*100</f>
        <v>98.824200916549216</v>
      </c>
    </row>
    <row r="9" spans="1:13">
      <c r="A9" s="59" t="s">
        <v>16</v>
      </c>
      <c r="B9" s="28" t="s">
        <v>15</v>
      </c>
      <c r="C9" s="28" t="s">
        <v>17</v>
      </c>
      <c r="D9" s="58" t="s">
        <v>0</v>
      </c>
      <c r="E9" s="58" t="s">
        <v>0</v>
      </c>
      <c r="F9" s="58" t="s">
        <v>0</v>
      </c>
      <c r="G9" s="35">
        <f t="shared" ref="G9:G14" si="0">G10</f>
        <v>250</v>
      </c>
      <c r="H9" s="35">
        <f t="shared" ref="H9:K14" si="1">H10</f>
        <v>250</v>
      </c>
      <c r="I9" s="35">
        <f t="shared" si="1"/>
        <v>250</v>
      </c>
      <c r="J9" s="35">
        <f t="shared" si="1"/>
        <v>250</v>
      </c>
      <c r="K9" s="35">
        <f t="shared" si="1"/>
        <v>250</v>
      </c>
      <c r="L9" s="35">
        <f t="shared" ref="L9:L34" si="2">K9/H9*100</f>
        <v>100</v>
      </c>
      <c r="M9" s="35">
        <f t="shared" ref="M9:M34" si="3">K9/I9*100</f>
        <v>100</v>
      </c>
    </row>
    <row r="10" spans="1:13" ht="51">
      <c r="A10" s="59" t="s">
        <v>18</v>
      </c>
      <c r="B10" s="28" t="s">
        <v>15</v>
      </c>
      <c r="C10" s="28" t="s">
        <v>17</v>
      </c>
      <c r="D10" s="28" t="s">
        <v>19</v>
      </c>
      <c r="E10" s="58" t="s">
        <v>0</v>
      </c>
      <c r="F10" s="58" t="s">
        <v>0</v>
      </c>
      <c r="G10" s="35">
        <f t="shared" si="0"/>
        <v>250</v>
      </c>
      <c r="H10" s="35">
        <f t="shared" si="1"/>
        <v>250</v>
      </c>
      <c r="I10" s="35">
        <f t="shared" si="1"/>
        <v>250</v>
      </c>
      <c r="J10" s="35">
        <f t="shared" si="1"/>
        <v>250</v>
      </c>
      <c r="K10" s="35">
        <f t="shared" si="1"/>
        <v>250</v>
      </c>
      <c r="L10" s="35">
        <f t="shared" si="2"/>
        <v>100</v>
      </c>
      <c r="M10" s="35">
        <f t="shared" si="3"/>
        <v>100</v>
      </c>
    </row>
    <row r="11" spans="1:13" ht="51">
      <c r="A11" s="59" t="s">
        <v>20</v>
      </c>
      <c r="B11" s="28" t="s">
        <v>15</v>
      </c>
      <c r="C11" s="28" t="s">
        <v>17</v>
      </c>
      <c r="D11" s="28" t="s">
        <v>19</v>
      </c>
      <c r="E11" s="28" t="s">
        <v>21</v>
      </c>
      <c r="F11" s="58" t="s">
        <v>0</v>
      </c>
      <c r="G11" s="35">
        <f t="shared" si="0"/>
        <v>250</v>
      </c>
      <c r="H11" s="35">
        <f t="shared" si="1"/>
        <v>250</v>
      </c>
      <c r="I11" s="35">
        <f t="shared" si="1"/>
        <v>250</v>
      </c>
      <c r="J11" s="35">
        <f t="shared" si="1"/>
        <v>250</v>
      </c>
      <c r="K11" s="35">
        <f t="shared" si="1"/>
        <v>250</v>
      </c>
      <c r="L11" s="35">
        <f t="shared" si="2"/>
        <v>100</v>
      </c>
      <c r="M11" s="35">
        <f t="shared" si="3"/>
        <v>100</v>
      </c>
    </row>
    <row r="12" spans="1:13" ht="25.5">
      <c r="A12" s="59" t="s">
        <v>22</v>
      </c>
      <c r="B12" s="28" t="s">
        <v>15</v>
      </c>
      <c r="C12" s="28" t="s">
        <v>17</v>
      </c>
      <c r="D12" s="28" t="s">
        <v>19</v>
      </c>
      <c r="E12" s="28" t="s">
        <v>23</v>
      </c>
      <c r="F12" s="58" t="s">
        <v>0</v>
      </c>
      <c r="G12" s="35">
        <f t="shared" si="0"/>
        <v>250</v>
      </c>
      <c r="H12" s="35">
        <f t="shared" si="1"/>
        <v>250</v>
      </c>
      <c r="I12" s="35">
        <f t="shared" si="1"/>
        <v>250</v>
      </c>
      <c r="J12" s="35">
        <f t="shared" si="1"/>
        <v>250</v>
      </c>
      <c r="K12" s="35">
        <f t="shared" si="1"/>
        <v>250</v>
      </c>
      <c r="L12" s="35">
        <f t="shared" si="2"/>
        <v>100</v>
      </c>
      <c r="M12" s="35">
        <f t="shared" si="3"/>
        <v>100</v>
      </c>
    </row>
    <row r="13" spans="1:13" ht="63.75">
      <c r="A13" s="59" t="s">
        <v>24</v>
      </c>
      <c r="B13" s="28" t="s">
        <v>15</v>
      </c>
      <c r="C13" s="28" t="s">
        <v>17</v>
      </c>
      <c r="D13" s="28" t="s">
        <v>19</v>
      </c>
      <c r="E13" s="28" t="s">
        <v>25</v>
      </c>
      <c r="F13" s="58" t="s">
        <v>0</v>
      </c>
      <c r="G13" s="35">
        <f t="shared" si="0"/>
        <v>250</v>
      </c>
      <c r="H13" s="35">
        <f t="shared" si="1"/>
        <v>250</v>
      </c>
      <c r="I13" s="35">
        <f t="shared" si="1"/>
        <v>250</v>
      </c>
      <c r="J13" s="35">
        <f t="shared" si="1"/>
        <v>250</v>
      </c>
      <c r="K13" s="35">
        <f t="shared" si="1"/>
        <v>250</v>
      </c>
      <c r="L13" s="35">
        <f t="shared" si="2"/>
        <v>100</v>
      </c>
      <c r="M13" s="35">
        <f t="shared" si="3"/>
        <v>100</v>
      </c>
    </row>
    <row r="14" spans="1:13">
      <c r="A14" s="59" t="s">
        <v>26</v>
      </c>
      <c r="B14" s="28" t="s">
        <v>15</v>
      </c>
      <c r="C14" s="28" t="s">
        <v>17</v>
      </c>
      <c r="D14" s="28" t="s">
        <v>19</v>
      </c>
      <c r="E14" s="28" t="s">
        <v>25</v>
      </c>
      <c r="F14" s="28" t="s">
        <v>27</v>
      </c>
      <c r="G14" s="35">
        <f t="shared" si="0"/>
        <v>250</v>
      </c>
      <c r="H14" s="35">
        <f t="shared" si="1"/>
        <v>250</v>
      </c>
      <c r="I14" s="35">
        <f t="shared" si="1"/>
        <v>250</v>
      </c>
      <c r="J14" s="35">
        <f t="shared" si="1"/>
        <v>250</v>
      </c>
      <c r="K14" s="35">
        <f t="shared" si="1"/>
        <v>250</v>
      </c>
      <c r="L14" s="35">
        <f t="shared" si="2"/>
        <v>100</v>
      </c>
      <c r="M14" s="35">
        <f t="shared" si="3"/>
        <v>100</v>
      </c>
    </row>
    <row r="15" spans="1:13">
      <c r="A15" s="59" t="s">
        <v>28</v>
      </c>
      <c r="B15" s="28" t="s">
        <v>15</v>
      </c>
      <c r="C15" s="28" t="s">
        <v>17</v>
      </c>
      <c r="D15" s="28" t="s">
        <v>19</v>
      </c>
      <c r="E15" s="28" t="s">
        <v>25</v>
      </c>
      <c r="F15" s="28" t="s">
        <v>29</v>
      </c>
      <c r="G15" s="35">
        <v>250</v>
      </c>
      <c r="H15" s="35">
        <v>250</v>
      </c>
      <c r="I15" s="35">
        <v>250</v>
      </c>
      <c r="J15" s="35">
        <v>250</v>
      </c>
      <c r="K15" s="35">
        <v>250</v>
      </c>
      <c r="L15" s="35">
        <f t="shared" si="2"/>
        <v>100</v>
      </c>
      <c r="M15" s="35">
        <f t="shared" si="3"/>
        <v>100</v>
      </c>
    </row>
    <row r="16" spans="1:13">
      <c r="A16" s="60" t="s">
        <v>0</v>
      </c>
      <c r="B16" s="58" t="s">
        <v>0</v>
      </c>
      <c r="C16" s="58" t="s">
        <v>0</v>
      </c>
      <c r="D16" s="58" t="s">
        <v>0</v>
      </c>
      <c r="E16" s="58" t="s">
        <v>0</v>
      </c>
      <c r="F16" s="58" t="s">
        <v>0</v>
      </c>
      <c r="G16" s="61" t="s">
        <v>0</v>
      </c>
      <c r="H16" s="61" t="s">
        <v>0</v>
      </c>
      <c r="I16" s="61" t="s">
        <v>0</v>
      </c>
      <c r="J16" s="61" t="s">
        <v>0</v>
      </c>
      <c r="K16" s="61" t="s">
        <v>0</v>
      </c>
      <c r="L16" s="61"/>
      <c r="M16" s="61"/>
    </row>
    <row r="17" spans="1:13">
      <c r="A17" s="59" t="s">
        <v>30</v>
      </c>
      <c r="B17" s="28" t="s">
        <v>15</v>
      </c>
      <c r="C17" s="28" t="s">
        <v>19</v>
      </c>
      <c r="D17" s="58" t="s">
        <v>0</v>
      </c>
      <c r="E17" s="58" t="s">
        <v>0</v>
      </c>
      <c r="F17" s="58" t="s">
        <v>0</v>
      </c>
      <c r="G17" s="35">
        <f>G18+G30+G39</f>
        <v>136581.20000000001</v>
      </c>
      <c r="H17" s="35">
        <f>H18+H30+H39</f>
        <v>193632.76063999999</v>
      </c>
      <c r="I17" s="35">
        <f>I18+I30+I39</f>
        <v>87470.376119999986</v>
      </c>
      <c r="J17" s="35">
        <f>J18+J30+J39</f>
        <v>86631.198139999993</v>
      </c>
      <c r="K17" s="35">
        <f>K18+K30+K39</f>
        <v>78440.030339999998</v>
      </c>
      <c r="L17" s="35">
        <f t="shared" si="2"/>
        <v>40.509689621083737</v>
      </c>
      <c r="M17" s="35">
        <f t="shared" si="3"/>
        <v>89.676109580675273</v>
      </c>
    </row>
    <row r="18" spans="1:13">
      <c r="A18" s="59" t="s">
        <v>31</v>
      </c>
      <c r="B18" s="28" t="s">
        <v>15</v>
      </c>
      <c r="C18" s="28" t="s">
        <v>19</v>
      </c>
      <c r="D18" s="28" t="s">
        <v>32</v>
      </c>
      <c r="E18" s="58" t="s">
        <v>0</v>
      </c>
      <c r="F18" s="58" t="s">
        <v>0</v>
      </c>
      <c r="G18" s="35">
        <f>G19</f>
        <v>7651.7</v>
      </c>
      <c r="H18" s="35">
        <f t="shared" ref="H18:K18" si="4">H19</f>
        <v>67516.600000000006</v>
      </c>
      <c r="I18" s="35">
        <f t="shared" si="4"/>
        <v>178.09155999999999</v>
      </c>
      <c r="J18" s="35">
        <f t="shared" si="4"/>
        <v>178.09155999999999</v>
      </c>
      <c r="K18" s="35">
        <f t="shared" si="4"/>
        <v>178.09155999999999</v>
      </c>
      <c r="L18" s="35">
        <f t="shared" si="2"/>
        <v>0.26377447916512381</v>
      </c>
      <c r="M18" s="35">
        <f t="shared" si="3"/>
        <v>100</v>
      </c>
    </row>
    <row r="19" spans="1:13" ht="51">
      <c r="A19" s="59" t="s">
        <v>33</v>
      </c>
      <c r="B19" s="28" t="s">
        <v>15</v>
      </c>
      <c r="C19" s="28" t="s">
        <v>19</v>
      </c>
      <c r="D19" s="28" t="s">
        <v>32</v>
      </c>
      <c r="E19" s="28" t="s">
        <v>34</v>
      </c>
      <c r="F19" s="58" t="s">
        <v>0</v>
      </c>
      <c r="G19" s="35">
        <f>G20</f>
        <v>7651.7</v>
      </c>
      <c r="H19" s="35">
        <f t="shared" ref="H19:K19" si="5">H20</f>
        <v>67516.600000000006</v>
      </c>
      <c r="I19" s="35">
        <f t="shared" si="5"/>
        <v>178.09155999999999</v>
      </c>
      <c r="J19" s="35">
        <f t="shared" si="5"/>
        <v>178.09155999999999</v>
      </c>
      <c r="K19" s="35">
        <f t="shared" si="5"/>
        <v>178.09155999999999</v>
      </c>
      <c r="L19" s="35">
        <f t="shared" si="2"/>
        <v>0.26377447916512381</v>
      </c>
      <c r="M19" s="35">
        <f t="shared" si="3"/>
        <v>100</v>
      </c>
    </row>
    <row r="20" spans="1:13" ht="25.5">
      <c r="A20" s="59" t="s">
        <v>35</v>
      </c>
      <c r="B20" s="28" t="s">
        <v>15</v>
      </c>
      <c r="C20" s="28" t="s">
        <v>19</v>
      </c>
      <c r="D20" s="28" t="s">
        <v>32</v>
      </c>
      <c r="E20" s="28" t="s">
        <v>36</v>
      </c>
      <c r="F20" s="58" t="s">
        <v>0</v>
      </c>
      <c r="G20" s="35">
        <f>G24+G27+G21</f>
        <v>7651.7</v>
      </c>
      <c r="H20" s="35">
        <f>H24+H27+H21</f>
        <v>67516.600000000006</v>
      </c>
      <c r="I20" s="35">
        <f>I24+I27+I21</f>
        <v>178.09155999999999</v>
      </c>
      <c r="J20" s="35">
        <f>J24+J27+J21</f>
        <v>178.09155999999999</v>
      </c>
      <c r="K20" s="35">
        <f>K24+K27+K21</f>
        <v>178.09155999999999</v>
      </c>
      <c r="L20" s="35">
        <f t="shared" si="2"/>
        <v>0.26377447916512381</v>
      </c>
      <c r="M20" s="35">
        <f t="shared" si="3"/>
        <v>100</v>
      </c>
    </row>
    <row r="21" spans="1:13" ht="39.75" customHeight="1">
      <c r="A21" s="59" t="s">
        <v>1109</v>
      </c>
      <c r="B21" s="28" t="s">
        <v>15</v>
      </c>
      <c r="C21" s="28" t="s">
        <v>19</v>
      </c>
      <c r="D21" s="28" t="s">
        <v>32</v>
      </c>
      <c r="E21" s="29" t="s">
        <v>1108</v>
      </c>
      <c r="F21" s="58"/>
      <c r="G21" s="35">
        <f>G22</f>
        <v>0</v>
      </c>
      <c r="H21" s="35">
        <f t="shared" ref="H21:K22" si="6">H22</f>
        <v>59864.9</v>
      </c>
      <c r="I21" s="35">
        <f t="shared" si="6"/>
        <v>0</v>
      </c>
      <c r="J21" s="35">
        <f t="shared" si="6"/>
        <v>0</v>
      </c>
      <c r="K21" s="35">
        <f t="shared" si="6"/>
        <v>0</v>
      </c>
      <c r="L21" s="35">
        <f t="shared" ref="L21:L23" si="7">K21/H21*100</f>
        <v>0</v>
      </c>
      <c r="M21" s="35">
        <v>0</v>
      </c>
    </row>
    <row r="22" spans="1:13" ht="25.5">
      <c r="A22" s="59" t="s">
        <v>39</v>
      </c>
      <c r="B22" s="28" t="s">
        <v>15</v>
      </c>
      <c r="C22" s="28" t="s">
        <v>19</v>
      </c>
      <c r="D22" s="28" t="s">
        <v>32</v>
      </c>
      <c r="E22" s="29" t="s">
        <v>1108</v>
      </c>
      <c r="F22" s="28">
        <v>400</v>
      </c>
      <c r="G22" s="35">
        <f>G23</f>
        <v>0</v>
      </c>
      <c r="H22" s="35">
        <f t="shared" si="6"/>
        <v>59864.9</v>
      </c>
      <c r="I22" s="35">
        <f t="shared" si="6"/>
        <v>0</v>
      </c>
      <c r="J22" s="35">
        <f t="shared" si="6"/>
        <v>0</v>
      </c>
      <c r="K22" s="35">
        <f t="shared" si="6"/>
        <v>0</v>
      </c>
      <c r="L22" s="35">
        <f t="shared" si="7"/>
        <v>0</v>
      </c>
      <c r="M22" s="35">
        <v>0</v>
      </c>
    </row>
    <row r="23" spans="1:13">
      <c r="A23" s="59" t="s">
        <v>41</v>
      </c>
      <c r="B23" s="28" t="s">
        <v>15</v>
      </c>
      <c r="C23" s="28" t="s">
        <v>19</v>
      </c>
      <c r="D23" s="28" t="s">
        <v>32</v>
      </c>
      <c r="E23" s="29" t="s">
        <v>1108</v>
      </c>
      <c r="F23" s="28">
        <v>410</v>
      </c>
      <c r="G23" s="35"/>
      <c r="H23" s="35">
        <v>59864.9</v>
      </c>
      <c r="I23" s="35">
        <v>0</v>
      </c>
      <c r="J23" s="35">
        <v>0</v>
      </c>
      <c r="K23" s="35">
        <v>0</v>
      </c>
      <c r="L23" s="35">
        <f t="shared" si="7"/>
        <v>0</v>
      </c>
      <c r="M23" s="35">
        <v>0</v>
      </c>
    </row>
    <row r="24" spans="1:13" ht="38.25">
      <c r="A24" s="59" t="s">
        <v>37</v>
      </c>
      <c r="B24" s="28" t="s">
        <v>15</v>
      </c>
      <c r="C24" s="28" t="s">
        <v>19</v>
      </c>
      <c r="D24" s="28" t="s">
        <v>32</v>
      </c>
      <c r="E24" s="28" t="s">
        <v>38</v>
      </c>
      <c r="F24" s="58" t="s">
        <v>0</v>
      </c>
      <c r="G24" s="35">
        <f>G25</f>
        <v>1000</v>
      </c>
      <c r="H24" s="35">
        <f t="shared" ref="H24:K25" si="8">H25</f>
        <v>1000</v>
      </c>
      <c r="I24" s="35">
        <f t="shared" si="8"/>
        <v>178.09155999999999</v>
      </c>
      <c r="J24" s="35">
        <f t="shared" si="8"/>
        <v>178.09155999999999</v>
      </c>
      <c r="K24" s="35">
        <f t="shared" si="8"/>
        <v>178.09155999999999</v>
      </c>
      <c r="L24" s="35">
        <f t="shared" si="2"/>
        <v>17.809155999999998</v>
      </c>
      <c r="M24" s="35">
        <f t="shared" si="3"/>
        <v>100</v>
      </c>
    </row>
    <row r="25" spans="1:13" ht="25.5">
      <c r="A25" s="59" t="s">
        <v>39</v>
      </c>
      <c r="B25" s="28" t="s">
        <v>15</v>
      </c>
      <c r="C25" s="28" t="s">
        <v>19</v>
      </c>
      <c r="D25" s="28" t="s">
        <v>32</v>
      </c>
      <c r="E25" s="28" t="s">
        <v>38</v>
      </c>
      <c r="F25" s="28" t="s">
        <v>40</v>
      </c>
      <c r="G25" s="35">
        <f>G26</f>
        <v>1000</v>
      </c>
      <c r="H25" s="35">
        <f t="shared" si="8"/>
        <v>1000</v>
      </c>
      <c r="I25" s="35">
        <f t="shared" si="8"/>
        <v>178.09155999999999</v>
      </c>
      <c r="J25" s="35">
        <f t="shared" si="8"/>
        <v>178.09155999999999</v>
      </c>
      <c r="K25" s="35">
        <f t="shared" si="8"/>
        <v>178.09155999999999</v>
      </c>
      <c r="L25" s="35">
        <f t="shared" si="2"/>
        <v>17.809155999999998</v>
      </c>
      <c r="M25" s="35">
        <f t="shared" si="3"/>
        <v>100</v>
      </c>
    </row>
    <row r="26" spans="1:13">
      <c r="A26" s="59" t="s">
        <v>41</v>
      </c>
      <c r="B26" s="28" t="s">
        <v>15</v>
      </c>
      <c r="C26" s="28" t="s">
        <v>19</v>
      </c>
      <c r="D26" s="28" t="s">
        <v>32</v>
      </c>
      <c r="E26" s="28" t="s">
        <v>38</v>
      </c>
      <c r="F26" s="28" t="s">
        <v>42</v>
      </c>
      <c r="G26" s="35">
        <v>1000</v>
      </c>
      <c r="H26" s="35">
        <v>1000</v>
      </c>
      <c r="I26" s="35">
        <v>178.09155999999999</v>
      </c>
      <c r="J26" s="35">
        <v>178.09155999999999</v>
      </c>
      <c r="K26" s="35">
        <v>178.09155999999999</v>
      </c>
      <c r="L26" s="35">
        <f t="shared" si="2"/>
        <v>17.809155999999998</v>
      </c>
      <c r="M26" s="35">
        <f t="shared" si="3"/>
        <v>100</v>
      </c>
    </row>
    <row r="27" spans="1:13" ht="51">
      <c r="A27" s="59" t="s">
        <v>43</v>
      </c>
      <c r="B27" s="28" t="s">
        <v>15</v>
      </c>
      <c r="C27" s="28" t="s">
        <v>19</v>
      </c>
      <c r="D27" s="28" t="s">
        <v>32</v>
      </c>
      <c r="E27" s="28" t="s">
        <v>44</v>
      </c>
      <c r="F27" s="58" t="s">
        <v>0</v>
      </c>
      <c r="G27" s="35">
        <f>G28</f>
        <v>6651.7</v>
      </c>
      <c r="H27" s="35">
        <f t="shared" ref="H27:K28" si="9">H28</f>
        <v>6651.7</v>
      </c>
      <c r="I27" s="35">
        <f t="shared" si="9"/>
        <v>0</v>
      </c>
      <c r="J27" s="35">
        <f t="shared" si="9"/>
        <v>0</v>
      </c>
      <c r="K27" s="35">
        <f t="shared" si="9"/>
        <v>0</v>
      </c>
      <c r="L27" s="35">
        <f t="shared" si="2"/>
        <v>0</v>
      </c>
      <c r="M27" s="35">
        <v>0</v>
      </c>
    </row>
    <row r="28" spans="1:13" ht="25.5">
      <c r="A28" s="59" t="s">
        <v>39</v>
      </c>
      <c r="B28" s="28" t="s">
        <v>15</v>
      </c>
      <c r="C28" s="28" t="s">
        <v>19</v>
      </c>
      <c r="D28" s="28" t="s">
        <v>32</v>
      </c>
      <c r="E28" s="28" t="s">
        <v>44</v>
      </c>
      <c r="F28" s="28" t="s">
        <v>40</v>
      </c>
      <c r="G28" s="35">
        <f>G29</f>
        <v>6651.7</v>
      </c>
      <c r="H28" s="35">
        <f t="shared" si="9"/>
        <v>6651.7</v>
      </c>
      <c r="I28" s="35">
        <f t="shared" si="9"/>
        <v>0</v>
      </c>
      <c r="J28" s="35">
        <f t="shared" si="9"/>
        <v>0</v>
      </c>
      <c r="K28" s="35">
        <f t="shared" si="9"/>
        <v>0</v>
      </c>
      <c r="L28" s="35">
        <f t="shared" si="2"/>
        <v>0</v>
      </c>
      <c r="M28" s="35">
        <v>0</v>
      </c>
    </row>
    <row r="29" spans="1:13">
      <c r="A29" s="59" t="s">
        <v>41</v>
      </c>
      <c r="B29" s="28" t="s">
        <v>15</v>
      </c>
      <c r="C29" s="28" t="s">
        <v>19</v>
      </c>
      <c r="D29" s="28" t="s">
        <v>32</v>
      </c>
      <c r="E29" s="28" t="s">
        <v>44</v>
      </c>
      <c r="F29" s="28" t="s">
        <v>42</v>
      </c>
      <c r="G29" s="35">
        <v>6651.7</v>
      </c>
      <c r="H29" s="35">
        <v>6651.7</v>
      </c>
      <c r="I29" s="35">
        <v>0</v>
      </c>
      <c r="J29" s="35">
        <v>0</v>
      </c>
      <c r="K29" s="35">
        <v>0</v>
      </c>
      <c r="L29" s="35">
        <f t="shared" si="2"/>
        <v>0</v>
      </c>
      <c r="M29" s="35">
        <v>0</v>
      </c>
    </row>
    <row r="30" spans="1:13">
      <c r="A30" s="59" t="s">
        <v>45</v>
      </c>
      <c r="B30" s="28" t="s">
        <v>15</v>
      </c>
      <c r="C30" s="28" t="s">
        <v>19</v>
      </c>
      <c r="D30" s="28" t="s">
        <v>46</v>
      </c>
      <c r="E30" s="58" t="s">
        <v>0</v>
      </c>
      <c r="F30" s="58" t="s">
        <v>0</v>
      </c>
      <c r="G30" s="35">
        <f>G31</f>
        <v>6504.6</v>
      </c>
      <c r="H30" s="35">
        <f>H31+H35</f>
        <v>7237.7141599999995</v>
      </c>
      <c r="I30" s="35">
        <f t="shared" ref="I30:K30" si="10">I31+I35</f>
        <v>2454.8209900000002</v>
      </c>
      <c r="J30" s="35">
        <f t="shared" si="10"/>
        <v>2454.8209900000002</v>
      </c>
      <c r="K30" s="35">
        <f t="shared" si="10"/>
        <v>2454.8209900000002</v>
      </c>
      <c r="L30" s="35">
        <f t="shared" si="2"/>
        <v>33.917075691754043</v>
      </c>
      <c r="M30" s="35">
        <f t="shared" si="3"/>
        <v>100</v>
      </c>
    </row>
    <row r="31" spans="1:13" ht="25.5">
      <c r="A31" s="59" t="s">
        <v>47</v>
      </c>
      <c r="B31" s="28" t="s">
        <v>15</v>
      </c>
      <c r="C31" s="28" t="s">
        <v>19</v>
      </c>
      <c r="D31" s="28" t="s">
        <v>46</v>
      </c>
      <c r="E31" s="28" t="s">
        <v>48</v>
      </c>
      <c r="F31" s="58" t="s">
        <v>0</v>
      </c>
      <c r="G31" s="35">
        <f>G32</f>
        <v>6504.6</v>
      </c>
      <c r="H31" s="35">
        <f t="shared" ref="H31:K33" si="11">H32</f>
        <v>6504.6479099999997</v>
      </c>
      <c r="I31" s="35">
        <f t="shared" si="11"/>
        <v>1721.7547400000001</v>
      </c>
      <c r="J31" s="35">
        <f t="shared" si="11"/>
        <v>1721.7547400000001</v>
      </c>
      <c r="K31" s="35">
        <f t="shared" si="11"/>
        <v>1721.7547400000001</v>
      </c>
      <c r="L31" s="35">
        <f t="shared" si="2"/>
        <v>26.46960702289573</v>
      </c>
      <c r="M31" s="35">
        <f t="shared" si="3"/>
        <v>100</v>
      </c>
    </row>
    <row r="32" spans="1:13" ht="38.25">
      <c r="A32" s="59" t="s">
        <v>37</v>
      </c>
      <c r="B32" s="28" t="s">
        <v>15</v>
      </c>
      <c r="C32" s="28" t="s">
        <v>19</v>
      </c>
      <c r="D32" s="28" t="s">
        <v>46</v>
      </c>
      <c r="E32" s="28" t="s">
        <v>49</v>
      </c>
      <c r="F32" s="58" t="s">
        <v>0</v>
      </c>
      <c r="G32" s="35">
        <f>G33</f>
        <v>6504.6</v>
      </c>
      <c r="H32" s="35">
        <f t="shared" si="11"/>
        <v>6504.6479099999997</v>
      </c>
      <c r="I32" s="35">
        <f t="shared" si="11"/>
        <v>1721.7547400000001</v>
      </c>
      <c r="J32" s="35">
        <f t="shared" si="11"/>
        <v>1721.7547400000001</v>
      </c>
      <c r="K32" s="35">
        <f t="shared" si="11"/>
        <v>1721.7547400000001</v>
      </c>
      <c r="L32" s="35">
        <f t="shared" si="2"/>
        <v>26.46960702289573</v>
      </c>
      <c r="M32" s="35">
        <f t="shared" si="3"/>
        <v>100</v>
      </c>
    </row>
    <row r="33" spans="1:13" ht="25.5">
      <c r="A33" s="59" t="s">
        <v>39</v>
      </c>
      <c r="B33" s="28" t="s">
        <v>15</v>
      </c>
      <c r="C33" s="28" t="s">
        <v>19</v>
      </c>
      <c r="D33" s="28" t="s">
        <v>46</v>
      </c>
      <c r="E33" s="28" t="s">
        <v>49</v>
      </c>
      <c r="F33" s="28" t="s">
        <v>40</v>
      </c>
      <c r="G33" s="35">
        <f>G34</f>
        <v>6504.6</v>
      </c>
      <c r="H33" s="35">
        <f t="shared" si="11"/>
        <v>6504.6479099999997</v>
      </c>
      <c r="I33" s="35">
        <f t="shared" si="11"/>
        <v>1721.7547400000001</v>
      </c>
      <c r="J33" s="35">
        <f t="shared" si="11"/>
        <v>1721.7547400000001</v>
      </c>
      <c r="K33" s="35">
        <f t="shared" si="11"/>
        <v>1721.7547400000001</v>
      </c>
      <c r="L33" s="35">
        <f t="shared" si="2"/>
        <v>26.46960702289573</v>
      </c>
      <c r="M33" s="35">
        <f t="shared" si="3"/>
        <v>100</v>
      </c>
    </row>
    <row r="34" spans="1:13">
      <c r="A34" s="59" t="s">
        <v>41</v>
      </c>
      <c r="B34" s="28" t="s">
        <v>15</v>
      </c>
      <c r="C34" s="28" t="s">
        <v>19</v>
      </c>
      <c r="D34" s="28" t="s">
        <v>46</v>
      </c>
      <c r="E34" s="28" t="s">
        <v>49</v>
      </c>
      <c r="F34" s="28" t="s">
        <v>42</v>
      </c>
      <c r="G34" s="35">
        <v>6504.6</v>
      </c>
      <c r="H34" s="35">
        <v>6504.6479099999997</v>
      </c>
      <c r="I34" s="35">
        <v>1721.7547400000001</v>
      </c>
      <c r="J34" s="35">
        <v>1721.7547400000001</v>
      </c>
      <c r="K34" s="35">
        <v>1721.7547400000001</v>
      </c>
      <c r="L34" s="35">
        <f t="shared" si="2"/>
        <v>26.46960702289573</v>
      </c>
      <c r="M34" s="35">
        <f t="shared" si="3"/>
        <v>100</v>
      </c>
    </row>
    <row r="35" spans="1:13">
      <c r="A35" s="62" t="s">
        <v>612</v>
      </c>
      <c r="B35" s="28" t="s">
        <v>15</v>
      </c>
      <c r="C35" s="28" t="s">
        <v>19</v>
      </c>
      <c r="D35" s="28" t="s">
        <v>46</v>
      </c>
      <c r="E35" s="29" t="s">
        <v>613</v>
      </c>
      <c r="F35" s="28"/>
      <c r="G35" s="35"/>
      <c r="H35" s="35">
        <f>H36</f>
        <v>733.06624999999997</v>
      </c>
      <c r="I35" s="35">
        <f t="shared" ref="I35:K37" si="12">I36</f>
        <v>733.06624999999997</v>
      </c>
      <c r="J35" s="35">
        <f t="shared" si="12"/>
        <v>733.06624999999997</v>
      </c>
      <c r="K35" s="35">
        <f t="shared" si="12"/>
        <v>733.06624999999997</v>
      </c>
      <c r="L35" s="35">
        <f t="shared" ref="L35:L98" si="13">K35/H35*100</f>
        <v>100</v>
      </c>
      <c r="M35" s="35">
        <f t="shared" ref="M35:M98" si="14">K35/I35*100</f>
        <v>100</v>
      </c>
    </row>
    <row r="36" spans="1:13">
      <c r="A36" s="59" t="s">
        <v>612</v>
      </c>
      <c r="B36" s="28" t="s">
        <v>15</v>
      </c>
      <c r="C36" s="28" t="s">
        <v>19</v>
      </c>
      <c r="D36" s="28" t="s">
        <v>46</v>
      </c>
      <c r="E36" s="29" t="s">
        <v>614</v>
      </c>
      <c r="F36" s="28"/>
      <c r="G36" s="35"/>
      <c r="H36" s="35">
        <f>H37</f>
        <v>733.06624999999997</v>
      </c>
      <c r="I36" s="35">
        <f t="shared" si="12"/>
        <v>733.06624999999997</v>
      </c>
      <c r="J36" s="35">
        <f t="shared" si="12"/>
        <v>733.06624999999997</v>
      </c>
      <c r="K36" s="35">
        <f t="shared" si="12"/>
        <v>733.06624999999997</v>
      </c>
      <c r="L36" s="35">
        <f t="shared" si="13"/>
        <v>100</v>
      </c>
      <c r="M36" s="35">
        <f t="shared" si="14"/>
        <v>100</v>
      </c>
    </row>
    <row r="37" spans="1:13" ht="25.5">
      <c r="A37" s="59" t="s">
        <v>64</v>
      </c>
      <c r="B37" s="28" t="s">
        <v>15</v>
      </c>
      <c r="C37" s="28" t="s">
        <v>19</v>
      </c>
      <c r="D37" s="28" t="s">
        <v>46</v>
      </c>
      <c r="E37" s="29" t="s">
        <v>614</v>
      </c>
      <c r="F37" s="28" t="s">
        <v>65</v>
      </c>
      <c r="G37" s="35"/>
      <c r="H37" s="35">
        <f>H38</f>
        <v>733.06624999999997</v>
      </c>
      <c r="I37" s="35">
        <f t="shared" si="12"/>
        <v>733.06624999999997</v>
      </c>
      <c r="J37" s="35">
        <f t="shared" si="12"/>
        <v>733.06624999999997</v>
      </c>
      <c r="K37" s="35">
        <f t="shared" si="12"/>
        <v>733.06624999999997</v>
      </c>
      <c r="L37" s="35">
        <f t="shared" si="13"/>
        <v>100</v>
      </c>
      <c r="M37" s="35">
        <f t="shared" si="14"/>
        <v>100</v>
      </c>
    </row>
    <row r="38" spans="1:13" ht="25.5">
      <c r="A38" s="59" t="s">
        <v>66</v>
      </c>
      <c r="B38" s="28" t="s">
        <v>15</v>
      </c>
      <c r="C38" s="28" t="s">
        <v>19</v>
      </c>
      <c r="D38" s="28" t="s">
        <v>46</v>
      </c>
      <c r="E38" s="29" t="s">
        <v>614</v>
      </c>
      <c r="F38" s="28" t="s">
        <v>67</v>
      </c>
      <c r="G38" s="35"/>
      <c r="H38" s="35">
        <v>733.06624999999997</v>
      </c>
      <c r="I38" s="35">
        <v>733.06624999999997</v>
      </c>
      <c r="J38" s="35">
        <v>733.06624999999997</v>
      </c>
      <c r="K38" s="35">
        <v>733.06624999999997</v>
      </c>
      <c r="L38" s="35">
        <f t="shared" si="13"/>
        <v>100</v>
      </c>
      <c r="M38" s="35">
        <f t="shared" si="14"/>
        <v>100</v>
      </c>
    </row>
    <row r="39" spans="1:13">
      <c r="A39" s="59" t="s">
        <v>50</v>
      </c>
      <c r="B39" s="28" t="s">
        <v>15</v>
      </c>
      <c r="C39" s="28" t="s">
        <v>19</v>
      </c>
      <c r="D39" s="28" t="s">
        <v>51</v>
      </c>
      <c r="E39" s="58" t="s">
        <v>0</v>
      </c>
      <c r="F39" s="58" t="s">
        <v>0</v>
      </c>
      <c r="G39" s="35">
        <f>G40+G70</f>
        <v>122424.90000000001</v>
      </c>
      <c r="H39" s="35">
        <f>H40+H70</f>
        <v>118878.44648</v>
      </c>
      <c r="I39" s="35">
        <f t="shared" ref="I39:J39" si="15">I40+I70</f>
        <v>84837.463569999993</v>
      </c>
      <c r="J39" s="35">
        <f t="shared" si="15"/>
        <v>83998.28559</v>
      </c>
      <c r="K39" s="35">
        <f t="shared" ref="K39" si="16">K40+K70</f>
        <v>75807.117790000004</v>
      </c>
      <c r="L39" s="35">
        <f t="shared" si="13"/>
        <v>63.76859728121844</v>
      </c>
      <c r="M39" s="35">
        <f t="shared" si="14"/>
        <v>89.355709847985992</v>
      </c>
    </row>
    <row r="40" spans="1:13" ht="51">
      <c r="A40" s="59" t="s">
        <v>20</v>
      </c>
      <c r="B40" s="28" t="s">
        <v>15</v>
      </c>
      <c r="C40" s="28" t="s">
        <v>19</v>
      </c>
      <c r="D40" s="28" t="s">
        <v>51</v>
      </c>
      <c r="E40" s="28" t="s">
        <v>21</v>
      </c>
      <c r="F40" s="58" t="s">
        <v>0</v>
      </c>
      <c r="G40" s="35">
        <f>G41+G48</f>
        <v>118141.40000000001</v>
      </c>
      <c r="H40" s="35">
        <f>H41+H48</f>
        <v>114594.90248</v>
      </c>
      <c r="I40" s="35">
        <f>I41+I48</f>
        <v>84444.833569999988</v>
      </c>
      <c r="J40" s="35">
        <f>J41+J48</f>
        <v>83630.964670000001</v>
      </c>
      <c r="K40" s="35">
        <f>K41+K48</f>
        <v>75439.796870000006</v>
      </c>
      <c r="L40" s="35">
        <f t="shared" si="13"/>
        <v>65.831721339582572</v>
      </c>
      <c r="M40" s="35">
        <f t="shared" si="14"/>
        <v>89.336189889538574</v>
      </c>
    </row>
    <row r="41" spans="1:13" ht="38.25">
      <c r="A41" s="59" t="s">
        <v>52</v>
      </c>
      <c r="B41" s="28" t="s">
        <v>15</v>
      </c>
      <c r="C41" s="28" t="s">
        <v>19</v>
      </c>
      <c r="D41" s="28" t="s">
        <v>51</v>
      </c>
      <c r="E41" s="28" t="s">
        <v>53</v>
      </c>
      <c r="F41" s="58" t="s">
        <v>0</v>
      </c>
      <c r="G41" s="35">
        <f>G45+G42</f>
        <v>2918.1</v>
      </c>
      <c r="H41" s="35">
        <f t="shared" ref="H41:K41" si="17">H45+H42</f>
        <v>2918.18246</v>
      </c>
      <c r="I41" s="35">
        <f t="shared" si="17"/>
        <v>0</v>
      </c>
      <c r="J41" s="35">
        <f t="shared" si="17"/>
        <v>0</v>
      </c>
      <c r="K41" s="35">
        <f t="shared" si="17"/>
        <v>0</v>
      </c>
      <c r="L41" s="35">
        <f t="shared" si="13"/>
        <v>0</v>
      </c>
      <c r="M41" s="35">
        <v>0</v>
      </c>
    </row>
    <row r="42" spans="1:13" s="88" customFormat="1" ht="68.25" customHeight="1">
      <c r="A42" s="59" t="s">
        <v>1223</v>
      </c>
      <c r="B42" s="28" t="s">
        <v>15</v>
      </c>
      <c r="C42" s="28" t="s">
        <v>19</v>
      </c>
      <c r="D42" s="28" t="s">
        <v>51</v>
      </c>
      <c r="E42" s="77" t="s">
        <v>1222</v>
      </c>
      <c r="F42" s="58"/>
      <c r="G42" s="35">
        <f>G43</f>
        <v>1948.3</v>
      </c>
      <c r="H42" s="35">
        <f t="shared" ref="H42:K43" si="18">H43</f>
        <v>1948.34746</v>
      </c>
      <c r="I42" s="35">
        <f t="shared" si="18"/>
        <v>0</v>
      </c>
      <c r="J42" s="35">
        <f t="shared" si="18"/>
        <v>0</v>
      </c>
      <c r="K42" s="35">
        <f t="shared" si="18"/>
        <v>0</v>
      </c>
      <c r="L42" s="35">
        <f t="shared" si="13"/>
        <v>0</v>
      </c>
      <c r="M42" s="35">
        <v>0</v>
      </c>
    </row>
    <row r="43" spans="1:13" s="88" customFormat="1">
      <c r="A43" s="59" t="s">
        <v>72</v>
      </c>
      <c r="B43" s="28" t="s">
        <v>15</v>
      </c>
      <c r="C43" s="28" t="s">
        <v>19</v>
      </c>
      <c r="D43" s="28" t="s">
        <v>51</v>
      </c>
      <c r="E43" s="77" t="s">
        <v>1222</v>
      </c>
      <c r="F43" s="58">
        <v>800</v>
      </c>
      <c r="G43" s="35">
        <f>G44</f>
        <v>1948.3</v>
      </c>
      <c r="H43" s="35">
        <f t="shared" si="18"/>
        <v>1948.34746</v>
      </c>
      <c r="I43" s="35">
        <f t="shared" si="18"/>
        <v>0</v>
      </c>
      <c r="J43" s="35">
        <f t="shared" si="18"/>
        <v>0</v>
      </c>
      <c r="K43" s="35">
        <f t="shared" si="18"/>
        <v>0</v>
      </c>
      <c r="L43" s="35">
        <f t="shared" si="13"/>
        <v>0</v>
      </c>
      <c r="M43" s="35">
        <v>0</v>
      </c>
    </row>
    <row r="44" spans="1:13" s="88" customFormat="1" ht="54.75" customHeight="1">
      <c r="A44" s="59" t="s">
        <v>218</v>
      </c>
      <c r="B44" s="28" t="s">
        <v>15</v>
      </c>
      <c r="C44" s="28" t="s">
        <v>19</v>
      </c>
      <c r="D44" s="28" t="s">
        <v>51</v>
      </c>
      <c r="E44" s="77" t="s">
        <v>1222</v>
      </c>
      <c r="F44" s="28">
        <v>810</v>
      </c>
      <c r="G44" s="63">
        <v>1948.3</v>
      </c>
      <c r="H44" s="35">
        <v>1948.34746</v>
      </c>
      <c r="I44" s="35">
        <v>0</v>
      </c>
      <c r="J44" s="35">
        <v>0</v>
      </c>
      <c r="K44" s="35">
        <v>0</v>
      </c>
      <c r="L44" s="35">
        <f t="shared" si="13"/>
        <v>0</v>
      </c>
      <c r="M44" s="35">
        <v>0</v>
      </c>
    </row>
    <row r="45" spans="1:13" ht="25.5">
      <c r="A45" s="59" t="s">
        <v>54</v>
      </c>
      <c r="B45" s="28" t="s">
        <v>15</v>
      </c>
      <c r="C45" s="28" t="s">
        <v>19</v>
      </c>
      <c r="D45" s="28" t="s">
        <v>51</v>
      </c>
      <c r="E45" s="28" t="s">
        <v>55</v>
      </c>
      <c r="F45" s="58" t="s">
        <v>0</v>
      </c>
      <c r="G45" s="35">
        <f>G46</f>
        <v>969.8</v>
      </c>
      <c r="H45" s="35">
        <f t="shared" ref="H45:K46" si="19">H46</f>
        <v>969.83500000000004</v>
      </c>
      <c r="I45" s="35">
        <f t="shared" si="19"/>
        <v>0</v>
      </c>
      <c r="J45" s="35">
        <f t="shared" si="19"/>
        <v>0</v>
      </c>
      <c r="K45" s="35">
        <f t="shared" si="19"/>
        <v>0</v>
      </c>
      <c r="L45" s="35">
        <f t="shared" si="13"/>
        <v>0</v>
      </c>
      <c r="M45" s="35">
        <v>0</v>
      </c>
    </row>
    <row r="46" spans="1:13">
      <c r="A46" s="59" t="s">
        <v>26</v>
      </c>
      <c r="B46" s="28" t="s">
        <v>15</v>
      </c>
      <c r="C46" s="28" t="s">
        <v>19</v>
      </c>
      <c r="D46" s="28" t="s">
        <v>51</v>
      </c>
      <c r="E46" s="28" t="s">
        <v>55</v>
      </c>
      <c r="F46" s="28" t="s">
        <v>27</v>
      </c>
      <c r="G46" s="35">
        <f>G47</f>
        <v>969.8</v>
      </c>
      <c r="H46" s="35">
        <f t="shared" si="19"/>
        <v>969.83500000000004</v>
      </c>
      <c r="I46" s="35">
        <f t="shared" si="19"/>
        <v>0</v>
      </c>
      <c r="J46" s="35">
        <f t="shared" si="19"/>
        <v>0</v>
      </c>
      <c r="K46" s="35">
        <f t="shared" si="19"/>
        <v>0</v>
      </c>
      <c r="L46" s="35">
        <f t="shared" si="13"/>
        <v>0</v>
      </c>
      <c r="M46" s="35">
        <v>0</v>
      </c>
    </row>
    <row r="47" spans="1:13">
      <c r="A47" s="59" t="s">
        <v>56</v>
      </c>
      <c r="B47" s="28" t="s">
        <v>15</v>
      </c>
      <c r="C47" s="28" t="s">
        <v>19</v>
      </c>
      <c r="D47" s="28" t="s">
        <v>51</v>
      </c>
      <c r="E47" s="28" t="s">
        <v>55</v>
      </c>
      <c r="F47" s="28" t="s">
        <v>57</v>
      </c>
      <c r="G47" s="35">
        <v>969.8</v>
      </c>
      <c r="H47" s="35">
        <v>969.83500000000004</v>
      </c>
      <c r="I47" s="35">
        <v>0</v>
      </c>
      <c r="J47" s="35">
        <v>0</v>
      </c>
      <c r="K47" s="35">
        <v>0</v>
      </c>
      <c r="L47" s="35">
        <f t="shared" si="13"/>
        <v>0</v>
      </c>
      <c r="M47" s="35">
        <v>0</v>
      </c>
    </row>
    <row r="48" spans="1:13" ht="25.5">
      <c r="A48" s="59" t="s">
        <v>22</v>
      </c>
      <c r="B48" s="28" t="s">
        <v>15</v>
      </c>
      <c r="C48" s="28" t="s">
        <v>19</v>
      </c>
      <c r="D48" s="28" t="s">
        <v>51</v>
      </c>
      <c r="E48" s="28" t="s">
        <v>23</v>
      </c>
      <c r="F48" s="58" t="s">
        <v>0</v>
      </c>
      <c r="G48" s="35">
        <f>G49+G58</f>
        <v>115223.3</v>
      </c>
      <c r="H48" s="35">
        <f t="shared" ref="H48:K48" si="20">H49+H58</f>
        <v>111676.72002000001</v>
      </c>
      <c r="I48" s="35">
        <f t="shared" si="20"/>
        <v>84444.833569999988</v>
      </c>
      <c r="J48" s="35">
        <f t="shared" si="20"/>
        <v>83630.964670000001</v>
      </c>
      <c r="K48" s="35">
        <f t="shared" si="20"/>
        <v>75439.796870000006</v>
      </c>
      <c r="L48" s="35">
        <f t="shared" si="13"/>
        <v>67.551945344105391</v>
      </c>
      <c r="M48" s="35">
        <f t="shared" si="14"/>
        <v>89.336189889538574</v>
      </c>
    </row>
    <row r="49" spans="1:13" ht="25.5">
      <c r="A49" s="59" t="s">
        <v>58</v>
      </c>
      <c r="B49" s="28" t="s">
        <v>15</v>
      </c>
      <c r="C49" s="28" t="s">
        <v>19</v>
      </c>
      <c r="D49" s="28" t="s">
        <v>51</v>
      </c>
      <c r="E49" s="28" t="s">
        <v>59</v>
      </c>
      <c r="F49" s="58" t="s">
        <v>0</v>
      </c>
      <c r="G49" s="35">
        <f>G50+G52+G54+G56</f>
        <v>51284.800000000003</v>
      </c>
      <c r="H49" s="35">
        <f t="shared" ref="H49:K49" si="21">H50+H52+H54+H56</f>
        <v>47738.296980000006</v>
      </c>
      <c r="I49" s="35">
        <f t="shared" si="21"/>
        <v>38120.614999999998</v>
      </c>
      <c r="J49" s="35">
        <f t="shared" si="21"/>
        <v>38120.614999999998</v>
      </c>
      <c r="K49" s="35">
        <f t="shared" si="21"/>
        <v>34712.724010000005</v>
      </c>
      <c r="L49" s="35">
        <f t="shared" si="13"/>
        <v>72.714625795182698</v>
      </c>
      <c r="M49" s="35">
        <f t="shared" si="14"/>
        <v>91.060241315624125</v>
      </c>
    </row>
    <row r="50" spans="1:13" ht="63.75">
      <c r="A50" s="59" t="s">
        <v>60</v>
      </c>
      <c r="B50" s="28" t="s">
        <v>15</v>
      </c>
      <c r="C50" s="28" t="s">
        <v>19</v>
      </c>
      <c r="D50" s="28" t="s">
        <v>51</v>
      </c>
      <c r="E50" s="28" t="s">
        <v>59</v>
      </c>
      <c r="F50" s="28" t="s">
        <v>61</v>
      </c>
      <c r="G50" s="35">
        <f>G51</f>
        <v>49307.5</v>
      </c>
      <c r="H50" s="35">
        <f t="shared" ref="H50:K50" si="22">H51</f>
        <v>45760.933690000005</v>
      </c>
      <c r="I50" s="35">
        <f t="shared" si="22"/>
        <v>36708</v>
      </c>
      <c r="J50" s="35">
        <f t="shared" si="22"/>
        <v>36708</v>
      </c>
      <c r="K50" s="35">
        <f t="shared" si="22"/>
        <v>33383.29047</v>
      </c>
      <c r="L50" s="35">
        <f t="shared" si="13"/>
        <v>72.951506400961279</v>
      </c>
      <c r="M50" s="35">
        <f t="shared" si="14"/>
        <v>90.942820284406665</v>
      </c>
    </row>
    <row r="51" spans="1:13" ht="25.5">
      <c r="A51" s="59" t="s">
        <v>62</v>
      </c>
      <c r="B51" s="28" t="s">
        <v>15</v>
      </c>
      <c r="C51" s="28" t="s">
        <v>19</v>
      </c>
      <c r="D51" s="28" t="s">
        <v>51</v>
      </c>
      <c r="E51" s="28" t="s">
        <v>59</v>
      </c>
      <c r="F51" s="28" t="s">
        <v>63</v>
      </c>
      <c r="G51" s="35">
        <v>49307.5</v>
      </c>
      <c r="H51" s="35">
        <f>34000.62833+2606.08+9154.22536</f>
        <v>45760.933690000005</v>
      </c>
      <c r="I51" s="35">
        <f>27257.795+1945+7505.205</f>
        <v>36708</v>
      </c>
      <c r="J51" s="35">
        <f>27257.795+1945+7505.205</f>
        <v>36708</v>
      </c>
      <c r="K51" s="35">
        <f>24603.99525+1448.04829+7331.24693</f>
        <v>33383.29047</v>
      </c>
      <c r="L51" s="35">
        <f t="shared" si="13"/>
        <v>72.951506400961279</v>
      </c>
      <c r="M51" s="35">
        <f t="shared" si="14"/>
        <v>90.942820284406665</v>
      </c>
    </row>
    <row r="52" spans="1:13" ht="25.5">
      <c r="A52" s="59" t="s">
        <v>64</v>
      </c>
      <c r="B52" s="28" t="s">
        <v>15</v>
      </c>
      <c r="C52" s="28" t="s">
        <v>19</v>
      </c>
      <c r="D52" s="28" t="s">
        <v>51</v>
      </c>
      <c r="E52" s="28" t="s">
        <v>59</v>
      </c>
      <c r="F52" s="28" t="s">
        <v>65</v>
      </c>
      <c r="G52" s="35">
        <f>G53</f>
        <v>1850.5</v>
      </c>
      <c r="H52" s="35">
        <f t="shared" ref="H52:K52" si="23">H53</f>
        <v>1850.5432900000001</v>
      </c>
      <c r="I52" s="35">
        <f t="shared" si="23"/>
        <v>1317.5</v>
      </c>
      <c r="J52" s="35">
        <f t="shared" si="23"/>
        <v>1317.5</v>
      </c>
      <c r="K52" s="35">
        <f t="shared" si="23"/>
        <v>1299.38354</v>
      </c>
      <c r="L52" s="35">
        <f t="shared" si="13"/>
        <v>70.216327660186749</v>
      </c>
      <c r="M52" s="35">
        <f t="shared" si="14"/>
        <v>98.624936622390891</v>
      </c>
    </row>
    <row r="53" spans="1:13" ht="25.5">
      <c r="A53" s="59" t="s">
        <v>66</v>
      </c>
      <c r="B53" s="28" t="s">
        <v>15</v>
      </c>
      <c r="C53" s="28" t="s">
        <v>19</v>
      </c>
      <c r="D53" s="28" t="s">
        <v>51</v>
      </c>
      <c r="E53" s="28" t="s">
        <v>59</v>
      </c>
      <c r="F53" s="28" t="s">
        <v>67</v>
      </c>
      <c r="G53" s="35">
        <v>1850.5</v>
      </c>
      <c r="H53" s="35">
        <v>1850.5432900000001</v>
      </c>
      <c r="I53" s="35">
        <v>1317.5</v>
      </c>
      <c r="J53" s="35">
        <v>1317.5</v>
      </c>
      <c r="K53" s="35">
        <v>1299.38354</v>
      </c>
      <c r="L53" s="35">
        <f t="shared" si="13"/>
        <v>70.216327660186749</v>
      </c>
      <c r="M53" s="35">
        <f t="shared" si="14"/>
        <v>98.624936622390891</v>
      </c>
    </row>
    <row r="54" spans="1:13">
      <c r="A54" s="59" t="s">
        <v>68</v>
      </c>
      <c r="B54" s="28" t="s">
        <v>15</v>
      </c>
      <c r="C54" s="28" t="s">
        <v>19</v>
      </c>
      <c r="D54" s="28" t="s">
        <v>51</v>
      </c>
      <c r="E54" s="28" t="s">
        <v>59</v>
      </c>
      <c r="F54" s="28" t="s">
        <v>69</v>
      </c>
      <c r="G54" s="35">
        <f>G55</f>
        <v>120</v>
      </c>
      <c r="H54" s="35">
        <f t="shared" ref="H54:K54" si="24">H55</f>
        <v>120</v>
      </c>
      <c r="I54" s="35">
        <f t="shared" si="24"/>
        <v>90</v>
      </c>
      <c r="J54" s="35">
        <f t="shared" si="24"/>
        <v>90</v>
      </c>
      <c r="K54" s="35">
        <f t="shared" si="24"/>
        <v>30</v>
      </c>
      <c r="L54" s="35">
        <f t="shared" si="13"/>
        <v>25</v>
      </c>
      <c r="M54" s="35">
        <f t="shared" si="14"/>
        <v>33.333333333333329</v>
      </c>
    </row>
    <row r="55" spans="1:13">
      <c r="A55" s="59" t="s">
        <v>70</v>
      </c>
      <c r="B55" s="28" t="s">
        <v>15</v>
      </c>
      <c r="C55" s="28" t="s">
        <v>19</v>
      </c>
      <c r="D55" s="28" t="s">
        <v>51</v>
      </c>
      <c r="E55" s="28" t="s">
        <v>59</v>
      </c>
      <c r="F55" s="28" t="s">
        <v>71</v>
      </c>
      <c r="G55" s="35">
        <v>120</v>
      </c>
      <c r="H55" s="35">
        <v>120</v>
      </c>
      <c r="I55" s="35">
        <v>90</v>
      </c>
      <c r="J55" s="35">
        <v>90</v>
      </c>
      <c r="K55" s="35">
        <v>30</v>
      </c>
      <c r="L55" s="35">
        <f t="shared" si="13"/>
        <v>25</v>
      </c>
      <c r="M55" s="35">
        <f t="shared" si="14"/>
        <v>33.333333333333329</v>
      </c>
    </row>
    <row r="56" spans="1:13">
      <c r="A56" s="59" t="s">
        <v>72</v>
      </c>
      <c r="B56" s="28" t="s">
        <v>15</v>
      </c>
      <c r="C56" s="28" t="s">
        <v>19</v>
      </c>
      <c r="D56" s="28" t="s">
        <v>51</v>
      </c>
      <c r="E56" s="28" t="s">
        <v>59</v>
      </c>
      <c r="F56" s="28" t="s">
        <v>73</v>
      </c>
      <c r="G56" s="35">
        <f>G57</f>
        <v>6.8</v>
      </c>
      <c r="H56" s="35">
        <f t="shared" ref="H56:K56" si="25">H57</f>
        <v>6.82</v>
      </c>
      <c r="I56" s="35">
        <f t="shared" si="25"/>
        <v>5.1150000000000002</v>
      </c>
      <c r="J56" s="35">
        <f t="shared" si="25"/>
        <v>5.1150000000000002</v>
      </c>
      <c r="K56" s="35">
        <f t="shared" si="25"/>
        <v>0.05</v>
      </c>
      <c r="L56" s="35">
        <f t="shared" si="13"/>
        <v>0.73313782991202348</v>
      </c>
      <c r="M56" s="35">
        <f t="shared" si="14"/>
        <v>0.97751710654936463</v>
      </c>
    </row>
    <row r="57" spans="1:13">
      <c r="A57" s="59" t="s">
        <v>74</v>
      </c>
      <c r="B57" s="28" t="s">
        <v>15</v>
      </c>
      <c r="C57" s="28" t="s">
        <v>19</v>
      </c>
      <c r="D57" s="28" t="s">
        <v>51</v>
      </c>
      <c r="E57" s="28" t="s">
        <v>59</v>
      </c>
      <c r="F57" s="28" t="s">
        <v>75</v>
      </c>
      <c r="G57" s="35">
        <v>6.8</v>
      </c>
      <c r="H57" s="35">
        <v>6.82</v>
      </c>
      <c r="I57" s="35">
        <v>5.1150000000000002</v>
      </c>
      <c r="J57" s="35">
        <v>5.1150000000000002</v>
      </c>
      <c r="K57" s="35">
        <v>0.05</v>
      </c>
      <c r="L57" s="35">
        <f t="shared" si="13"/>
        <v>0.73313782991202348</v>
      </c>
      <c r="M57" s="35">
        <f t="shared" si="14"/>
        <v>0.97751710654936463</v>
      </c>
    </row>
    <row r="58" spans="1:13" ht="25.5">
      <c r="A58" s="59" t="s">
        <v>76</v>
      </c>
      <c r="B58" s="28" t="s">
        <v>15</v>
      </c>
      <c r="C58" s="28" t="s">
        <v>19</v>
      </c>
      <c r="D58" s="28" t="s">
        <v>51</v>
      </c>
      <c r="E58" s="28" t="s">
        <v>77</v>
      </c>
      <c r="F58" s="58" t="s">
        <v>0</v>
      </c>
      <c r="G58" s="35">
        <f>G59+G61+G65+G67</f>
        <v>63938.5</v>
      </c>
      <c r="H58" s="35">
        <f>H59+H61+H65+H67+H63</f>
        <v>63938.423040000009</v>
      </c>
      <c r="I58" s="35">
        <f t="shared" ref="I58:K58" si="26">I59+I61+I65+I67+I63</f>
        <v>46324.218569999997</v>
      </c>
      <c r="J58" s="35">
        <f t="shared" si="26"/>
        <v>45510.349670000003</v>
      </c>
      <c r="K58" s="35">
        <f t="shared" si="26"/>
        <v>40727.07286</v>
      </c>
      <c r="L58" s="35">
        <f t="shared" si="13"/>
        <v>63.69733709966706</v>
      </c>
      <c r="M58" s="35">
        <f t="shared" si="14"/>
        <v>87.917452505880462</v>
      </c>
    </row>
    <row r="59" spans="1:13" ht="63.75">
      <c r="A59" s="59" t="s">
        <v>60</v>
      </c>
      <c r="B59" s="28" t="s">
        <v>15</v>
      </c>
      <c r="C59" s="28" t="s">
        <v>19</v>
      </c>
      <c r="D59" s="28" t="s">
        <v>51</v>
      </c>
      <c r="E59" s="28" t="s">
        <v>77</v>
      </c>
      <c r="F59" s="28" t="s">
        <v>61</v>
      </c>
      <c r="G59" s="35">
        <f>G60</f>
        <v>44825.2</v>
      </c>
      <c r="H59" s="35">
        <f t="shared" ref="H59:K59" si="27">H60</f>
        <v>43771.964350000002</v>
      </c>
      <c r="I59" s="35">
        <f t="shared" si="27"/>
        <v>31892.4787</v>
      </c>
      <c r="J59" s="35">
        <f t="shared" si="27"/>
        <v>31513.285800000001</v>
      </c>
      <c r="K59" s="35">
        <f t="shared" si="27"/>
        <v>28096.36966</v>
      </c>
      <c r="L59" s="35">
        <f t="shared" si="13"/>
        <v>64.188048394040138</v>
      </c>
      <c r="M59" s="35">
        <f t="shared" si="14"/>
        <v>88.097165241659312</v>
      </c>
    </row>
    <row r="60" spans="1:13">
      <c r="A60" s="59" t="s">
        <v>78</v>
      </c>
      <c r="B60" s="28" t="s">
        <v>15</v>
      </c>
      <c r="C60" s="28" t="s">
        <v>19</v>
      </c>
      <c r="D60" s="28" t="s">
        <v>51</v>
      </c>
      <c r="E60" s="28" t="s">
        <v>77</v>
      </c>
      <c r="F60" s="28" t="s">
        <v>79</v>
      </c>
      <c r="G60" s="35">
        <v>44825.2</v>
      </c>
      <c r="H60" s="35">
        <f>33336.17487+1237.208+9198.58148</f>
        <v>43771.964350000002</v>
      </c>
      <c r="I60" s="35">
        <f>24263.69553+616+7012.78317</f>
        <v>31892.4787</v>
      </c>
      <c r="J60" s="35">
        <f>23974.27702+616+6923.00878</f>
        <v>31513.285800000001</v>
      </c>
      <c r="K60" s="35">
        <f>21713.97189+556.71685+5825.68092</f>
        <v>28096.36966</v>
      </c>
      <c r="L60" s="35">
        <f t="shared" si="13"/>
        <v>64.188048394040138</v>
      </c>
      <c r="M60" s="35">
        <f t="shared" si="14"/>
        <v>88.097165241659312</v>
      </c>
    </row>
    <row r="61" spans="1:13" ht="25.5">
      <c r="A61" s="59" t="s">
        <v>64</v>
      </c>
      <c r="B61" s="28" t="s">
        <v>15</v>
      </c>
      <c r="C61" s="28" t="s">
        <v>19</v>
      </c>
      <c r="D61" s="28" t="s">
        <v>51</v>
      </c>
      <c r="E61" s="28" t="s">
        <v>77</v>
      </c>
      <c r="F61" s="28" t="s">
        <v>65</v>
      </c>
      <c r="G61" s="35">
        <f>G62</f>
        <v>5740.5</v>
      </c>
      <c r="H61" s="35">
        <f t="shared" ref="H61:K61" si="28">H62</f>
        <v>5740.49298</v>
      </c>
      <c r="I61" s="35">
        <f t="shared" si="28"/>
        <v>3772.4763699999999</v>
      </c>
      <c r="J61" s="35">
        <f t="shared" si="28"/>
        <v>3772.4763699999999</v>
      </c>
      <c r="K61" s="35">
        <f t="shared" si="28"/>
        <v>3420.7333600000002</v>
      </c>
      <c r="L61" s="35">
        <f t="shared" si="13"/>
        <v>59.589539991040986</v>
      </c>
      <c r="M61" s="35">
        <f t="shared" si="14"/>
        <v>90.676071219499789</v>
      </c>
    </row>
    <row r="62" spans="1:13" ht="25.5">
      <c r="A62" s="59" t="s">
        <v>66</v>
      </c>
      <c r="B62" s="28" t="s">
        <v>15</v>
      </c>
      <c r="C62" s="28" t="s">
        <v>19</v>
      </c>
      <c r="D62" s="28" t="s">
        <v>51</v>
      </c>
      <c r="E62" s="28" t="s">
        <v>77</v>
      </c>
      <c r="F62" s="28" t="s">
        <v>67</v>
      </c>
      <c r="G62" s="35">
        <v>5740.5</v>
      </c>
      <c r="H62" s="35">
        <v>5740.49298</v>
      </c>
      <c r="I62" s="35">
        <v>3772.4763699999999</v>
      </c>
      <c r="J62" s="35">
        <v>3772.4763699999999</v>
      </c>
      <c r="K62" s="35">
        <v>3420.7333600000002</v>
      </c>
      <c r="L62" s="35">
        <f t="shared" si="13"/>
        <v>59.589539991040986</v>
      </c>
      <c r="M62" s="35">
        <f t="shared" si="14"/>
        <v>90.676071219499789</v>
      </c>
    </row>
    <row r="63" spans="1:13">
      <c r="A63" s="59" t="s">
        <v>68</v>
      </c>
      <c r="B63" s="28" t="s">
        <v>15</v>
      </c>
      <c r="C63" s="28" t="s">
        <v>19</v>
      </c>
      <c r="D63" s="28" t="s">
        <v>51</v>
      </c>
      <c r="E63" s="28" t="s">
        <v>77</v>
      </c>
      <c r="F63" s="28">
        <v>300</v>
      </c>
      <c r="G63" s="35">
        <f>G64</f>
        <v>0</v>
      </c>
      <c r="H63" s="35">
        <f>H64</f>
        <v>1053.1859999999999</v>
      </c>
      <c r="I63" s="35">
        <f t="shared" ref="I63:K63" si="29">I64</f>
        <v>1053.1859999999999</v>
      </c>
      <c r="J63" s="35">
        <f t="shared" si="29"/>
        <v>1053.1859999999999</v>
      </c>
      <c r="K63" s="35">
        <f t="shared" si="29"/>
        <v>711.41736000000003</v>
      </c>
      <c r="L63" s="35">
        <f t="shared" si="13"/>
        <v>67.549071104249407</v>
      </c>
      <c r="M63" s="35">
        <f t="shared" si="14"/>
        <v>67.549071104249407</v>
      </c>
    </row>
    <row r="64" spans="1:13" ht="25.5">
      <c r="A64" s="59" t="s">
        <v>151</v>
      </c>
      <c r="B64" s="28" t="s">
        <v>15</v>
      </c>
      <c r="C64" s="28" t="s">
        <v>19</v>
      </c>
      <c r="D64" s="28" t="s">
        <v>51</v>
      </c>
      <c r="E64" s="28" t="s">
        <v>77</v>
      </c>
      <c r="F64" s="28">
        <v>320</v>
      </c>
      <c r="G64" s="35">
        <v>0</v>
      </c>
      <c r="H64" s="35">
        <v>1053.1859999999999</v>
      </c>
      <c r="I64" s="35">
        <v>1053.1859999999999</v>
      </c>
      <c r="J64" s="35">
        <v>1053.1859999999999</v>
      </c>
      <c r="K64" s="35">
        <v>711.41736000000003</v>
      </c>
      <c r="L64" s="35">
        <f t="shared" si="13"/>
        <v>67.549071104249407</v>
      </c>
      <c r="M64" s="35">
        <f t="shared" si="14"/>
        <v>67.549071104249407</v>
      </c>
    </row>
    <row r="65" spans="1:13" ht="25.5">
      <c r="A65" s="59" t="s">
        <v>80</v>
      </c>
      <c r="B65" s="28" t="s">
        <v>15</v>
      </c>
      <c r="C65" s="28" t="s">
        <v>19</v>
      </c>
      <c r="D65" s="28" t="s">
        <v>51</v>
      </c>
      <c r="E65" s="28" t="s">
        <v>77</v>
      </c>
      <c r="F65" s="28" t="s">
        <v>81</v>
      </c>
      <c r="G65" s="36">
        <f>G66</f>
        <v>12591.8</v>
      </c>
      <c r="H65" s="36">
        <f t="shared" ref="H65:K65" si="30">H66</f>
        <v>12591.8</v>
      </c>
      <c r="I65" s="36">
        <f t="shared" si="30"/>
        <v>9175</v>
      </c>
      <c r="J65" s="36">
        <f t="shared" si="30"/>
        <v>8746</v>
      </c>
      <c r="K65" s="36">
        <f t="shared" si="30"/>
        <v>8318</v>
      </c>
      <c r="L65" s="35">
        <f t="shared" si="13"/>
        <v>66.058863704950838</v>
      </c>
      <c r="M65" s="35">
        <f t="shared" si="14"/>
        <v>90.659400544959126</v>
      </c>
    </row>
    <row r="66" spans="1:13">
      <c r="A66" s="59" t="s">
        <v>82</v>
      </c>
      <c r="B66" s="28" t="s">
        <v>15</v>
      </c>
      <c r="C66" s="28" t="s">
        <v>19</v>
      </c>
      <c r="D66" s="28" t="s">
        <v>51</v>
      </c>
      <c r="E66" s="28" t="s">
        <v>77</v>
      </c>
      <c r="F66" s="28" t="s">
        <v>83</v>
      </c>
      <c r="G66" s="35">
        <v>12591.8</v>
      </c>
      <c r="H66" s="35">
        <f>11091.8+1500</f>
        <v>12591.8</v>
      </c>
      <c r="I66" s="35">
        <f>8319+856</f>
        <v>9175</v>
      </c>
      <c r="J66" s="63">
        <f>8318+428</f>
        <v>8746</v>
      </c>
      <c r="K66" s="35">
        <v>8318</v>
      </c>
      <c r="L66" s="35">
        <f t="shared" si="13"/>
        <v>66.058863704950838</v>
      </c>
      <c r="M66" s="35">
        <f t="shared" si="14"/>
        <v>90.659400544959126</v>
      </c>
    </row>
    <row r="67" spans="1:13">
      <c r="A67" s="59" t="s">
        <v>72</v>
      </c>
      <c r="B67" s="28" t="s">
        <v>15</v>
      </c>
      <c r="C67" s="28" t="s">
        <v>19</v>
      </c>
      <c r="D67" s="28" t="s">
        <v>51</v>
      </c>
      <c r="E67" s="28" t="s">
        <v>77</v>
      </c>
      <c r="F67" s="28" t="s">
        <v>73</v>
      </c>
      <c r="G67" s="35">
        <f>G68+G69</f>
        <v>781</v>
      </c>
      <c r="H67" s="35">
        <f t="shared" ref="H67:K67" si="31">H68+H69</f>
        <v>780.97971000000007</v>
      </c>
      <c r="I67" s="35">
        <f t="shared" si="31"/>
        <v>431.07749999999999</v>
      </c>
      <c r="J67" s="35">
        <f t="shared" si="31"/>
        <v>425.40150000000006</v>
      </c>
      <c r="K67" s="35">
        <f t="shared" si="31"/>
        <v>180.55248</v>
      </c>
      <c r="L67" s="35">
        <f t="shared" si="13"/>
        <v>23.118715849865033</v>
      </c>
      <c r="M67" s="35">
        <f t="shared" si="14"/>
        <v>41.883995337265347</v>
      </c>
    </row>
    <row r="68" spans="1:13">
      <c r="A68" s="59" t="s">
        <v>84</v>
      </c>
      <c r="B68" s="28" t="s">
        <v>15</v>
      </c>
      <c r="C68" s="28" t="s">
        <v>19</v>
      </c>
      <c r="D68" s="28" t="s">
        <v>51</v>
      </c>
      <c r="E68" s="28" t="s">
        <v>77</v>
      </c>
      <c r="F68" s="28" t="s">
        <v>85</v>
      </c>
      <c r="G68" s="35">
        <v>142.30000000000001</v>
      </c>
      <c r="H68" s="35">
        <v>145.29326</v>
      </c>
      <c r="I68" s="35">
        <v>145.29326</v>
      </c>
      <c r="J68" s="35">
        <v>145.29326</v>
      </c>
      <c r="K68" s="35">
        <v>3</v>
      </c>
      <c r="L68" s="35">
        <f t="shared" si="13"/>
        <v>2.0647895160449976</v>
      </c>
      <c r="M68" s="35">
        <f t="shared" si="14"/>
        <v>2.0647895160449976</v>
      </c>
    </row>
    <row r="69" spans="1:13">
      <c r="A69" s="59" t="s">
        <v>74</v>
      </c>
      <c r="B69" s="28" t="s">
        <v>15</v>
      </c>
      <c r="C69" s="28" t="s">
        <v>19</v>
      </c>
      <c r="D69" s="28" t="s">
        <v>51</v>
      </c>
      <c r="E69" s="28" t="s">
        <v>77</v>
      </c>
      <c r="F69" s="28" t="s">
        <v>75</v>
      </c>
      <c r="G69" s="35">
        <v>638.70000000000005</v>
      </c>
      <c r="H69" s="35">
        <f>311.02305+158.41418+166.24922</f>
        <v>635.68645000000004</v>
      </c>
      <c r="I69" s="35">
        <f>199.30302+25.232+61.24922</f>
        <v>285.78424000000001</v>
      </c>
      <c r="J69" s="35">
        <f>199.30302+19.556+61.24922</f>
        <v>280.10824000000002</v>
      </c>
      <c r="K69" s="35">
        <f>96.76726+19.536+61.24922</f>
        <v>177.55248</v>
      </c>
      <c r="L69" s="35">
        <f t="shared" si="13"/>
        <v>27.930826589114805</v>
      </c>
      <c r="M69" s="35">
        <f t="shared" si="14"/>
        <v>62.128156542152212</v>
      </c>
    </row>
    <row r="70" spans="1:13" ht="76.5">
      <c r="A70" s="59" t="s">
        <v>86</v>
      </c>
      <c r="B70" s="28" t="s">
        <v>15</v>
      </c>
      <c r="C70" s="28" t="s">
        <v>19</v>
      </c>
      <c r="D70" s="28" t="s">
        <v>51</v>
      </c>
      <c r="E70" s="28" t="s">
        <v>87</v>
      </c>
      <c r="F70" s="58" t="s">
        <v>0</v>
      </c>
      <c r="G70" s="35">
        <f>G71</f>
        <v>4283.5</v>
      </c>
      <c r="H70" s="35">
        <f t="shared" ref="H70:J70" si="32">H71</f>
        <v>4283.5439999999999</v>
      </c>
      <c r="I70" s="35">
        <f t="shared" si="32"/>
        <v>392.63</v>
      </c>
      <c r="J70" s="35">
        <f t="shared" si="32"/>
        <v>367.32092</v>
      </c>
      <c r="K70" s="35">
        <f>K71</f>
        <v>367.32092</v>
      </c>
      <c r="L70" s="35">
        <f t="shared" si="13"/>
        <v>8.5751639296806577</v>
      </c>
      <c r="M70" s="35">
        <f t="shared" si="14"/>
        <v>93.553961745154467</v>
      </c>
    </row>
    <row r="71" spans="1:13" ht="25.5">
      <c r="A71" s="59" t="s">
        <v>88</v>
      </c>
      <c r="B71" s="28" t="s">
        <v>15</v>
      </c>
      <c r="C71" s="28" t="s">
        <v>19</v>
      </c>
      <c r="D71" s="28" t="s">
        <v>51</v>
      </c>
      <c r="E71" s="28" t="s">
        <v>89</v>
      </c>
      <c r="F71" s="58" t="s">
        <v>0</v>
      </c>
      <c r="G71" s="35">
        <f>G72+G75</f>
        <v>4283.5</v>
      </c>
      <c r="H71" s="35">
        <f t="shared" ref="H71:J71" si="33">H72+H75</f>
        <v>4283.5439999999999</v>
      </c>
      <c r="I71" s="35">
        <f t="shared" si="33"/>
        <v>392.63</v>
      </c>
      <c r="J71" s="35">
        <f t="shared" si="33"/>
        <v>367.32092</v>
      </c>
      <c r="K71" s="35">
        <f>K72+K75</f>
        <v>367.32092</v>
      </c>
      <c r="L71" s="35">
        <f t="shared" si="13"/>
        <v>8.5751639296806577</v>
      </c>
      <c r="M71" s="35">
        <f t="shared" si="14"/>
        <v>93.553961745154467</v>
      </c>
    </row>
    <row r="72" spans="1:13" ht="25.5">
      <c r="A72" s="59" t="s">
        <v>76</v>
      </c>
      <c r="B72" s="28" t="s">
        <v>15</v>
      </c>
      <c r="C72" s="28" t="s">
        <v>19</v>
      </c>
      <c r="D72" s="28" t="s">
        <v>51</v>
      </c>
      <c r="E72" s="28" t="s">
        <v>90</v>
      </c>
      <c r="F72" s="58" t="s">
        <v>0</v>
      </c>
      <c r="G72" s="35">
        <f>G73</f>
        <v>483.5</v>
      </c>
      <c r="H72" s="35">
        <f t="shared" ref="H72:K73" si="34">H73</f>
        <v>483.54399999999998</v>
      </c>
      <c r="I72" s="35">
        <f t="shared" si="34"/>
        <v>383.54399999999998</v>
      </c>
      <c r="J72" s="35">
        <f t="shared" si="34"/>
        <v>358.23491999999999</v>
      </c>
      <c r="K72" s="35">
        <f t="shared" si="34"/>
        <v>358.23491999999999</v>
      </c>
      <c r="L72" s="35">
        <f t="shared" si="13"/>
        <v>74.085278692321694</v>
      </c>
      <c r="M72" s="35">
        <f t="shared" si="14"/>
        <v>93.401257743570483</v>
      </c>
    </row>
    <row r="73" spans="1:13" ht="25.5">
      <c r="A73" s="59" t="s">
        <v>64</v>
      </c>
      <c r="B73" s="28" t="s">
        <v>15</v>
      </c>
      <c r="C73" s="28" t="s">
        <v>19</v>
      </c>
      <c r="D73" s="28" t="s">
        <v>51</v>
      </c>
      <c r="E73" s="28" t="s">
        <v>90</v>
      </c>
      <c r="F73" s="28" t="s">
        <v>65</v>
      </c>
      <c r="G73" s="35">
        <f>G74</f>
        <v>483.5</v>
      </c>
      <c r="H73" s="35">
        <f t="shared" si="34"/>
        <v>483.54399999999998</v>
      </c>
      <c r="I73" s="35">
        <f t="shared" si="34"/>
        <v>383.54399999999998</v>
      </c>
      <c r="J73" s="35">
        <f t="shared" si="34"/>
        <v>358.23491999999999</v>
      </c>
      <c r="K73" s="35">
        <f t="shared" si="34"/>
        <v>358.23491999999999</v>
      </c>
      <c r="L73" s="35">
        <f t="shared" si="13"/>
        <v>74.085278692321694</v>
      </c>
      <c r="M73" s="35">
        <f t="shared" si="14"/>
        <v>93.401257743570483</v>
      </c>
    </row>
    <row r="74" spans="1:13" ht="25.5">
      <c r="A74" s="59" t="s">
        <v>66</v>
      </c>
      <c r="B74" s="28" t="s">
        <v>15</v>
      </c>
      <c r="C74" s="28" t="s">
        <v>19</v>
      </c>
      <c r="D74" s="28" t="s">
        <v>51</v>
      </c>
      <c r="E74" s="28" t="s">
        <v>90</v>
      </c>
      <c r="F74" s="28" t="s">
        <v>67</v>
      </c>
      <c r="G74" s="35">
        <v>483.5</v>
      </c>
      <c r="H74" s="35">
        <v>483.54399999999998</v>
      </c>
      <c r="I74" s="35">
        <v>383.54399999999998</v>
      </c>
      <c r="J74" s="35">
        <v>358.23491999999999</v>
      </c>
      <c r="K74" s="35">
        <v>358.23491999999999</v>
      </c>
      <c r="L74" s="35">
        <f t="shared" si="13"/>
        <v>74.085278692321694</v>
      </c>
      <c r="M74" s="35">
        <f t="shared" si="14"/>
        <v>93.401257743570483</v>
      </c>
    </row>
    <row r="75" spans="1:13" ht="38.25">
      <c r="A75" s="59" t="s">
        <v>37</v>
      </c>
      <c r="B75" s="28" t="s">
        <v>15</v>
      </c>
      <c r="C75" s="28" t="s">
        <v>19</v>
      </c>
      <c r="D75" s="28" t="s">
        <v>51</v>
      </c>
      <c r="E75" s="28" t="s">
        <v>91</v>
      </c>
      <c r="F75" s="58" t="s">
        <v>0</v>
      </c>
      <c r="G75" s="35">
        <f>G76</f>
        <v>3800</v>
      </c>
      <c r="H75" s="35">
        <f t="shared" ref="H75:K76" si="35">H76</f>
        <v>3800</v>
      </c>
      <c r="I75" s="35">
        <f t="shared" si="35"/>
        <v>9.0860000000000003</v>
      </c>
      <c r="J75" s="35">
        <f t="shared" si="35"/>
        <v>9.0860000000000003</v>
      </c>
      <c r="K75" s="35">
        <f t="shared" si="35"/>
        <v>9.0860000000000003</v>
      </c>
      <c r="L75" s="35">
        <f t="shared" si="13"/>
        <v>0.23910526315789474</v>
      </c>
      <c r="M75" s="35">
        <f t="shared" si="14"/>
        <v>100</v>
      </c>
    </row>
    <row r="76" spans="1:13" ht="25.5">
      <c r="A76" s="59" t="s">
        <v>39</v>
      </c>
      <c r="B76" s="28" t="s">
        <v>15</v>
      </c>
      <c r="C76" s="28" t="s">
        <v>19</v>
      </c>
      <c r="D76" s="28" t="s">
        <v>51</v>
      </c>
      <c r="E76" s="28" t="s">
        <v>91</v>
      </c>
      <c r="F76" s="28" t="s">
        <v>40</v>
      </c>
      <c r="G76" s="35">
        <f>G77</f>
        <v>3800</v>
      </c>
      <c r="H76" s="35">
        <f t="shared" si="35"/>
        <v>3800</v>
      </c>
      <c r="I76" s="35">
        <f t="shared" si="35"/>
        <v>9.0860000000000003</v>
      </c>
      <c r="J76" s="35">
        <f t="shared" si="35"/>
        <v>9.0860000000000003</v>
      </c>
      <c r="K76" s="35">
        <f t="shared" si="35"/>
        <v>9.0860000000000003</v>
      </c>
      <c r="L76" s="35">
        <f t="shared" si="13"/>
        <v>0.23910526315789474</v>
      </c>
      <c r="M76" s="35">
        <f t="shared" si="14"/>
        <v>100</v>
      </c>
    </row>
    <row r="77" spans="1:13">
      <c r="A77" s="59" t="s">
        <v>41</v>
      </c>
      <c r="B77" s="28" t="s">
        <v>15</v>
      </c>
      <c r="C77" s="28" t="s">
        <v>19</v>
      </c>
      <c r="D77" s="28" t="s">
        <v>51</v>
      </c>
      <c r="E77" s="28" t="s">
        <v>91</v>
      </c>
      <c r="F77" s="28" t="s">
        <v>42</v>
      </c>
      <c r="G77" s="35">
        <v>3800</v>
      </c>
      <c r="H77" s="35">
        <v>3800</v>
      </c>
      <c r="I77" s="63">
        <v>9.0860000000000003</v>
      </c>
      <c r="J77" s="35">
        <v>9.0860000000000003</v>
      </c>
      <c r="K77" s="35">
        <v>9.0860000000000003</v>
      </c>
      <c r="L77" s="35">
        <f t="shared" si="13"/>
        <v>0.23910526315789474</v>
      </c>
      <c r="M77" s="35">
        <f t="shared" si="14"/>
        <v>100</v>
      </c>
    </row>
    <row r="78" spans="1:13">
      <c r="A78" s="60" t="s">
        <v>0</v>
      </c>
      <c r="B78" s="58" t="s">
        <v>0</v>
      </c>
      <c r="C78" s="58" t="s">
        <v>0</v>
      </c>
      <c r="D78" s="58" t="s">
        <v>0</v>
      </c>
      <c r="E78" s="58" t="s">
        <v>0</v>
      </c>
      <c r="F78" s="58" t="s">
        <v>0</v>
      </c>
      <c r="G78" s="61" t="s">
        <v>0</v>
      </c>
      <c r="H78" s="61" t="s">
        <v>0</v>
      </c>
      <c r="I78" s="61" t="s">
        <v>0</v>
      </c>
      <c r="J78" s="61" t="s">
        <v>0</v>
      </c>
      <c r="K78" s="61" t="s">
        <v>0</v>
      </c>
      <c r="L78" s="35"/>
      <c r="M78" s="35"/>
    </row>
    <row r="79" spans="1:13">
      <c r="A79" s="59" t="s">
        <v>92</v>
      </c>
      <c r="B79" s="28" t="s">
        <v>15</v>
      </c>
      <c r="C79" s="28" t="s">
        <v>93</v>
      </c>
      <c r="D79" s="58" t="s">
        <v>0</v>
      </c>
      <c r="E79" s="58" t="s">
        <v>0</v>
      </c>
      <c r="F79" s="58" t="s">
        <v>0</v>
      </c>
      <c r="G79" s="35">
        <f>G80+G101</f>
        <v>1248252.0499999998</v>
      </c>
      <c r="H79" s="35">
        <f t="shared" ref="H79:K79" si="36">H80+H101</f>
        <v>1965528.5218399998</v>
      </c>
      <c r="I79" s="35">
        <f t="shared" si="36"/>
        <v>800119.61577000003</v>
      </c>
      <c r="J79" s="35">
        <f t="shared" si="36"/>
        <v>800119.61577000003</v>
      </c>
      <c r="K79" s="35">
        <f t="shared" si="36"/>
        <v>800119.61577000003</v>
      </c>
      <c r="L79" s="35">
        <f t="shared" si="13"/>
        <v>40.707606472226622</v>
      </c>
      <c r="M79" s="35">
        <f t="shared" si="14"/>
        <v>100</v>
      </c>
    </row>
    <row r="80" spans="1:13">
      <c r="A80" s="59" t="s">
        <v>94</v>
      </c>
      <c r="B80" s="28" t="s">
        <v>15</v>
      </c>
      <c r="C80" s="28" t="s">
        <v>93</v>
      </c>
      <c r="D80" s="28" t="s">
        <v>17</v>
      </c>
      <c r="E80" s="58" t="s">
        <v>0</v>
      </c>
      <c r="F80" s="58" t="s">
        <v>0</v>
      </c>
      <c r="G80" s="35">
        <f>G81+G93</f>
        <v>1140636.6499999999</v>
      </c>
      <c r="H80" s="35">
        <f t="shared" ref="H80:K80" si="37">H81+H93</f>
        <v>1857913.1538399998</v>
      </c>
      <c r="I80" s="35">
        <f t="shared" si="37"/>
        <v>757131.3763</v>
      </c>
      <c r="J80" s="35">
        <f t="shared" si="37"/>
        <v>757131.3763</v>
      </c>
      <c r="K80" s="35">
        <f t="shared" si="37"/>
        <v>757131.3763</v>
      </c>
      <c r="L80" s="35">
        <f t="shared" si="13"/>
        <v>40.751709773685299</v>
      </c>
      <c r="M80" s="35">
        <f t="shared" si="14"/>
        <v>100</v>
      </c>
    </row>
    <row r="81" spans="1:13" ht="51">
      <c r="A81" s="59" t="s">
        <v>20</v>
      </c>
      <c r="B81" s="28" t="s">
        <v>15</v>
      </c>
      <c r="C81" s="28" t="s">
        <v>93</v>
      </c>
      <c r="D81" s="28" t="s">
        <v>17</v>
      </c>
      <c r="E81" s="28" t="s">
        <v>21</v>
      </c>
      <c r="F81" s="58" t="s">
        <v>0</v>
      </c>
      <c r="G81" s="35">
        <f>G82+G89</f>
        <v>3095.8</v>
      </c>
      <c r="H81" s="35">
        <f t="shared" ref="H81:K81" si="38">H82+H89</f>
        <v>3095.75</v>
      </c>
      <c r="I81" s="35">
        <f t="shared" si="38"/>
        <v>279</v>
      </c>
      <c r="J81" s="35">
        <f t="shared" si="38"/>
        <v>279</v>
      </c>
      <c r="K81" s="35">
        <f t="shared" si="38"/>
        <v>279</v>
      </c>
      <c r="L81" s="35">
        <f t="shared" si="13"/>
        <v>9.0123556488734557</v>
      </c>
      <c r="M81" s="35">
        <f t="shared" si="14"/>
        <v>100</v>
      </c>
    </row>
    <row r="82" spans="1:13" ht="38.25">
      <c r="A82" s="59" t="s">
        <v>52</v>
      </c>
      <c r="B82" s="28" t="s">
        <v>15</v>
      </c>
      <c r="C82" s="28" t="s">
        <v>93</v>
      </c>
      <c r="D82" s="28" t="s">
        <v>17</v>
      </c>
      <c r="E82" s="28" t="s">
        <v>53</v>
      </c>
      <c r="F82" s="58" t="s">
        <v>0</v>
      </c>
      <c r="G82" s="35">
        <f>G83+G86</f>
        <v>2816.8</v>
      </c>
      <c r="H82" s="35">
        <f t="shared" ref="H82:K82" si="39">H83+H86</f>
        <v>2816.75</v>
      </c>
      <c r="I82" s="35">
        <f t="shared" si="39"/>
        <v>0</v>
      </c>
      <c r="J82" s="35">
        <f t="shared" si="39"/>
        <v>0</v>
      </c>
      <c r="K82" s="35">
        <f t="shared" si="39"/>
        <v>0</v>
      </c>
      <c r="L82" s="35">
        <f t="shared" si="13"/>
        <v>0</v>
      </c>
      <c r="M82" s="35">
        <v>0</v>
      </c>
    </row>
    <row r="83" spans="1:13" ht="25.5">
      <c r="A83" s="59" t="s">
        <v>95</v>
      </c>
      <c r="B83" s="28" t="s">
        <v>15</v>
      </c>
      <c r="C83" s="28" t="s">
        <v>93</v>
      </c>
      <c r="D83" s="28" t="s">
        <v>17</v>
      </c>
      <c r="E83" s="28" t="s">
        <v>96</v>
      </c>
      <c r="F83" s="58" t="s">
        <v>0</v>
      </c>
      <c r="G83" s="35">
        <f>G84</f>
        <v>1520</v>
      </c>
      <c r="H83" s="35">
        <f t="shared" ref="H83:K84" si="40">H84</f>
        <v>1520</v>
      </c>
      <c r="I83" s="35">
        <f t="shared" si="40"/>
        <v>0</v>
      </c>
      <c r="J83" s="35">
        <f t="shared" si="40"/>
        <v>0</v>
      </c>
      <c r="K83" s="35">
        <f t="shared" si="40"/>
        <v>0</v>
      </c>
      <c r="L83" s="35">
        <f t="shared" si="13"/>
        <v>0</v>
      </c>
      <c r="M83" s="35">
        <v>0</v>
      </c>
    </row>
    <row r="84" spans="1:13" ht="25.5">
      <c r="A84" s="59" t="s">
        <v>39</v>
      </c>
      <c r="B84" s="28" t="s">
        <v>15</v>
      </c>
      <c r="C84" s="28" t="s">
        <v>93</v>
      </c>
      <c r="D84" s="28" t="s">
        <v>17</v>
      </c>
      <c r="E84" s="28" t="s">
        <v>96</v>
      </c>
      <c r="F84" s="28" t="s">
        <v>40</v>
      </c>
      <c r="G84" s="35">
        <f>G85</f>
        <v>1520</v>
      </c>
      <c r="H84" s="35">
        <f t="shared" si="40"/>
        <v>1520</v>
      </c>
      <c r="I84" s="35">
        <f t="shared" si="40"/>
        <v>0</v>
      </c>
      <c r="J84" s="35">
        <f t="shared" si="40"/>
        <v>0</v>
      </c>
      <c r="K84" s="35">
        <f t="shared" si="40"/>
        <v>0</v>
      </c>
      <c r="L84" s="35">
        <f t="shared" si="13"/>
        <v>0</v>
      </c>
      <c r="M84" s="35">
        <v>0</v>
      </c>
    </row>
    <row r="85" spans="1:13">
      <c r="A85" s="59" t="s">
        <v>41</v>
      </c>
      <c r="B85" s="28" t="s">
        <v>15</v>
      </c>
      <c r="C85" s="28" t="s">
        <v>93</v>
      </c>
      <c r="D85" s="28" t="s">
        <v>17</v>
      </c>
      <c r="E85" s="28" t="s">
        <v>96</v>
      </c>
      <c r="F85" s="28" t="s">
        <v>42</v>
      </c>
      <c r="G85" s="35">
        <v>1520</v>
      </c>
      <c r="H85" s="35">
        <v>1520</v>
      </c>
      <c r="I85" s="35">
        <v>0</v>
      </c>
      <c r="J85" s="35">
        <v>0</v>
      </c>
      <c r="K85" s="35">
        <v>0</v>
      </c>
      <c r="L85" s="35">
        <f t="shared" si="13"/>
        <v>0</v>
      </c>
      <c r="M85" s="35">
        <v>0</v>
      </c>
    </row>
    <row r="86" spans="1:13" ht="38.25">
      <c r="A86" s="59" t="s">
        <v>37</v>
      </c>
      <c r="B86" s="28" t="s">
        <v>15</v>
      </c>
      <c r="C86" s="28" t="s">
        <v>93</v>
      </c>
      <c r="D86" s="28" t="s">
        <v>17</v>
      </c>
      <c r="E86" s="28" t="s">
        <v>97</v>
      </c>
      <c r="F86" s="58" t="s">
        <v>0</v>
      </c>
      <c r="G86" s="35">
        <f>G87</f>
        <v>1296.8</v>
      </c>
      <c r="H86" s="35">
        <f>H87</f>
        <v>1296.75</v>
      </c>
      <c r="I86" s="35">
        <f t="shared" ref="I86:K86" si="41">I87</f>
        <v>0</v>
      </c>
      <c r="J86" s="35">
        <f t="shared" si="41"/>
        <v>0</v>
      </c>
      <c r="K86" s="35">
        <f t="shared" si="41"/>
        <v>0</v>
      </c>
      <c r="L86" s="35">
        <f t="shared" si="13"/>
        <v>0</v>
      </c>
      <c r="M86" s="35">
        <v>0</v>
      </c>
    </row>
    <row r="87" spans="1:13" ht="25.5">
      <c r="A87" s="59" t="s">
        <v>39</v>
      </c>
      <c r="B87" s="28" t="s">
        <v>15</v>
      </c>
      <c r="C87" s="28" t="s">
        <v>93</v>
      </c>
      <c r="D87" s="28" t="s">
        <v>17</v>
      </c>
      <c r="E87" s="28" t="s">
        <v>97</v>
      </c>
      <c r="F87" s="28" t="s">
        <v>40</v>
      </c>
      <c r="G87" s="35">
        <f>G88</f>
        <v>1296.8</v>
      </c>
      <c r="H87" s="35">
        <f t="shared" ref="H87:K87" si="42">H88</f>
        <v>1296.75</v>
      </c>
      <c r="I87" s="35">
        <f t="shared" si="42"/>
        <v>0</v>
      </c>
      <c r="J87" s="35">
        <f t="shared" si="42"/>
        <v>0</v>
      </c>
      <c r="K87" s="35">
        <f t="shared" si="42"/>
        <v>0</v>
      </c>
      <c r="L87" s="35">
        <f t="shared" si="13"/>
        <v>0</v>
      </c>
      <c r="M87" s="35">
        <v>0</v>
      </c>
    </row>
    <row r="88" spans="1:13">
      <c r="A88" s="59" t="s">
        <v>41</v>
      </c>
      <c r="B88" s="28" t="s">
        <v>15</v>
      </c>
      <c r="C88" s="28" t="s">
        <v>93</v>
      </c>
      <c r="D88" s="28" t="s">
        <v>17</v>
      </c>
      <c r="E88" s="28" t="s">
        <v>97</v>
      </c>
      <c r="F88" s="28" t="s">
        <v>42</v>
      </c>
      <c r="G88" s="35">
        <v>1296.8</v>
      </c>
      <c r="H88" s="35">
        <v>1296.75</v>
      </c>
      <c r="I88" s="35">
        <v>0</v>
      </c>
      <c r="J88" s="35">
        <v>0</v>
      </c>
      <c r="K88" s="35">
        <v>0</v>
      </c>
      <c r="L88" s="35">
        <f t="shared" si="13"/>
        <v>0</v>
      </c>
      <c r="M88" s="35">
        <v>0</v>
      </c>
    </row>
    <row r="89" spans="1:13" ht="25.5">
      <c r="A89" s="59" t="s">
        <v>22</v>
      </c>
      <c r="B89" s="28" t="s">
        <v>15</v>
      </c>
      <c r="C89" s="28" t="s">
        <v>93</v>
      </c>
      <c r="D89" s="28" t="s">
        <v>17</v>
      </c>
      <c r="E89" s="28" t="s">
        <v>23</v>
      </c>
      <c r="F89" s="58" t="s">
        <v>0</v>
      </c>
      <c r="G89" s="35">
        <f>G90</f>
        <v>279</v>
      </c>
      <c r="H89" s="35">
        <f t="shared" ref="H89:K91" si="43">H90</f>
        <v>279</v>
      </c>
      <c r="I89" s="35">
        <f t="shared" si="43"/>
        <v>279</v>
      </c>
      <c r="J89" s="35">
        <f t="shared" si="43"/>
        <v>279</v>
      </c>
      <c r="K89" s="35">
        <f t="shared" si="43"/>
        <v>279</v>
      </c>
      <c r="L89" s="35">
        <f t="shared" si="13"/>
        <v>100</v>
      </c>
      <c r="M89" s="35">
        <f t="shared" si="14"/>
        <v>100</v>
      </c>
    </row>
    <row r="90" spans="1:13" ht="25.5">
      <c r="A90" s="59" t="s">
        <v>76</v>
      </c>
      <c r="B90" s="28" t="s">
        <v>15</v>
      </c>
      <c r="C90" s="28" t="s">
        <v>93</v>
      </c>
      <c r="D90" s="28" t="s">
        <v>17</v>
      </c>
      <c r="E90" s="28" t="s">
        <v>77</v>
      </c>
      <c r="F90" s="58" t="s">
        <v>0</v>
      </c>
      <c r="G90" s="35">
        <f>G91</f>
        <v>279</v>
      </c>
      <c r="H90" s="35">
        <f t="shared" si="43"/>
        <v>279</v>
      </c>
      <c r="I90" s="35">
        <f t="shared" si="43"/>
        <v>279</v>
      </c>
      <c r="J90" s="35">
        <f t="shared" si="43"/>
        <v>279</v>
      </c>
      <c r="K90" s="35">
        <f t="shared" si="43"/>
        <v>279</v>
      </c>
      <c r="L90" s="35">
        <f t="shared" si="13"/>
        <v>100</v>
      </c>
      <c r="M90" s="35">
        <f t="shared" si="14"/>
        <v>100</v>
      </c>
    </row>
    <row r="91" spans="1:13" ht="25.5">
      <c r="A91" s="59" t="s">
        <v>64</v>
      </c>
      <c r="B91" s="28" t="s">
        <v>15</v>
      </c>
      <c r="C91" s="28" t="s">
        <v>93</v>
      </c>
      <c r="D91" s="28" t="s">
        <v>17</v>
      </c>
      <c r="E91" s="28" t="s">
        <v>77</v>
      </c>
      <c r="F91" s="28" t="s">
        <v>65</v>
      </c>
      <c r="G91" s="35">
        <f>G92</f>
        <v>279</v>
      </c>
      <c r="H91" s="35">
        <f t="shared" si="43"/>
        <v>279</v>
      </c>
      <c r="I91" s="35">
        <f t="shared" si="43"/>
        <v>279</v>
      </c>
      <c r="J91" s="35">
        <f t="shared" si="43"/>
        <v>279</v>
      </c>
      <c r="K91" s="35">
        <f t="shared" si="43"/>
        <v>279</v>
      </c>
      <c r="L91" s="35">
        <f t="shared" si="13"/>
        <v>100</v>
      </c>
      <c r="M91" s="35">
        <f t="shared" si="14"/>
        <v>100</v>
      </c>
    </row>
    <row r="92" spans="1:13" ht="25.5">
      <c r="A92" s="59" t="s">
        <v>66</v>
      </c>
      <c r="B92" s="28" t="s">
        <v>15</v>
      </c>
      <c r="C92" s="28" t="s">
        <v>93</v>
      </c>
      <c r="D92" s="28" t="s">
        <v>17</v>
      </c>
      <c r="E92" s="28" t="s">
        <v>77</v>
      </c>
      <c r="F92" s="28" t="s">
        <v>67</v>
      </c>
      <c r="G92" s="35">
        <v>279</v>
      </c>
      <c r="H92" s="35">
        <v>279</v>
      </c>
      <c r="I92" s="35">
        <v>279</v>
      </c>
      <c r="J92" s="35">
        <v>279</v>
      </c>
      <c r="K92" s="35">
        <v>279</v>
      </c>
      <c r="L92" s="35">
        <f t="shared" si="13"/>
        <v>100</v>
      </c>
      <c r="M92" s="35">
        <f t="shared" si="14"/>
        <v>100</v>
      </c>
    </row>
    <row r="93" spans="1:13" ht="76.5">
      <c r="A93" s="59" t="s">
        <v>98</v>
      </c>
      <c r="B93" s="28" t="s">
        <v>15</v>
      </c>
      <c r="C93" s="28" t="s">
        <v>93</v>
      </c>
      <c r="D93" s="28" t="s">
        <v>17</v>
      </c>
      <c r="E93" s="28" t="s">
        <v>99</v>
      </c>
      <c r="F93" s="58" t="s">
        <v>0</v>
      </c>
      <c r="G93" s="35">
        <f>G94</f>
        <v>1137540.8499999999</v>
      </c>
      <c r="H93" s="35">
        <f t="shared" ref="H93:K96" si="44">H94</f>
        <v>1854817.4038399998</v>
      </c>
      <c r="I93" s="35">
        <f t="shared" si="44"/>
        <v>756852.3763</v>
      </c>
      <c r="J93" s="35">
        <f t="shared" si="44"/>
        <v>756852.3763</v>
      </c>
      <c r="K93" s="35">
        <f t="shared" si="44"/>
        <v>756852.3763</v>
      </c>
      <c r="L93" s="35">
        <f t="shared" si="13"/>
        <v>40.804683778203731</v>
      </c>
      <c r="M93" s="35">
        <f t="shared" si="14"/>
        <v>100</v>
      </c>
    </row>
    <row r="94" spans="1:13" ht="63.75">
      <c r="A94" s="59" t="s">
        <v>100</v>
      </c>
      <c r="B94" s="28" t="s">
        <v>15</v>
      </c>
      <c r="C94" s="28" t="s">
        <v>93</v>
      </c>
      <c r="D94" s="28" t="s">
        <v>17</v>
      </c>
      <c r="E94" s="28" t="s">
        <v>101</v>
      </c>
      <c r="F94" s="58" t="s">
        <v>0</v>
      </c>
      <c r="G94" s="35">
        <f>G95+G98</f>
        <v>1137540.8499999999</v>
      </c>
      <c r="H94" s="35">
        <f t="shared" ref="H94:K94" si="45">H95+H98</f>
        <v>1854817.4038399998</v>
      </c>
      <c r="I94" s="35">
        <f t="shared" si="45"/>
        <v>756852.3763</v>
      </c>
      <c r="J94" s="35">
        <f t="shared" si="45"/>
        <v>756852.3763</v>
      </c>
      <c r="K94" s="35">
        <f t="shared" si="45"/>
        <v>756852.3763</v>
      </c>
      <c r="L94" s="35">
        <f t="shared" si="13"/>
        <v>40.804683778203731</v>
      </c>
      <c r="M94" s="35">
        <f t="shared" si="14"/>
        <v>100</v>
      </c>
    </row>
    <row r="95" spans="1:13" ht="63.75">
      <c r="A95" s="59" t="s">
        <v>102</v>
      </c>
      <c r="B95" s="28" t="s">
        <v>15</v>
      </c>
      <c r="C95" s="28" t="s">
        <v>93</v>
      </c>
      <c r="D95" s="28" t="s">
        <v>17</v>
      </c>
      <c r="E95" s="28" t="s">
        <v>103</v>
      </c>
      <c r="F95" s="58" t="s">
        <v>0</v>
      </c>
      <c r="G95" s="35">
        <f>G96</f>
        <v>902168.45</v>
      </c>
      <c r="H95" s="35">
        <f t="shared" si="44"/>
        <v>1619445.0038399999</v>
      </c>
      <c r="I95" s="35">
        <f t="shared" si="44"/>
        <v>521479.97629999998</v>
      </c>
      <c r="J95" s="35">
        <f t="shared" si="44"/>
        <v>521479.97629999998</v>
      </c>
      <c r="K95" s="35">
        <f t="shared" si="44"/>
        <v>521479.97629999998</v>
      </c>
      <c r="L95" s="35">
        <f t="shared" si="13"/>
        <v>32.201153794261351</v>
      </c>
      <c r="M95" s="35">
        <f t="shared" si="14"/>
        <v>100</v>
      </c>
    </row>
    <row r="96" spans="1:13" ht="25.5">
      <c r="A96" s="59" t="s">
        <v>39</v>
      </c>
      <c r="B96" s="28" t="s">
        <v>15</v>
      </c>
      <c r="C96" s="28" t="s">
        <v>93</v>
      </c>
      <c r="D96" s="28" t="s">
        <v>17</v>
      </c>
      <c r="E96" s="28" t="s">
        <v>103</v>
      </c>
      <c r="F96" s="28" t="s">
        <v>40</v>
      </c>
      <c r="G96" s="35">
        <f>G97</f>
        <v>902168.45</v>
      </c>
      <c r="H96" s="35">
        <f t="shared" si="44"/>
        <v>1619445.0038399999</v>
      </c>
      <c r="I96" s="35">
        <f t="shared" si="44"/>
        <v>521479.97629999998</v>
      </c>
      <c r="J96" s="35">
        <f t="shared" si="44"/>
        <v>521479.97629999998</v>
      </c>
      <c r="K96" s="35">
        <f t="shared" si="44"/>
        <v>521479.97629999998</v>
      </c>
      <c r="L96" s="35">
        <f t="shared" si="13"/>
        <v>32.201153794261351</v>
      </c>
      <c r="M96" s="35">
        <f t="shared" si="14"/>
        <v>100</v>
      </c>
    </row>
    <row r="97" spans="1:13">
      <c r="A97" s="59" t="s">
        <v>41</v>
      </c>
      <c r="B97" s="28" t="s">
        <v>15</v>
      </c>
      <c r="C97" s="28" t="s">
        <v>93</v>
      </c>
      <c r="D97" s="28" t="s">
        <v>17</v>
      </c>
      <c r="E97" s="28" t="s">
        <v>103</v>
      </c>
      <c r="F97" s="28" t="s">
        <v>42</v>
      </c>
      <c r="G97" s="35">
        <v>902168.45</v>
      </c>
      <c r="H97" s="35">
        <v>1619445.0038399999</v>
      </c>
      <c r="I97" s="35">
        <v>521479.97629999998</v>
      </c>
      <c r="J97" s="35">
        <v>521479.97629999998</v>
      </c>
      <c r="K97" s="35">
        <v>521479.97629999998</v>
      </c>
      <c r="L97" s="35">
        <f t="shared" si="13"/>
        <v>32.201153794261351</v>
      </c>
      <c r="M97" s="35">
        <f t="shared" si="14"/>
        <v>100</v>
      </c>
    </row>
    <row r="98" spans="1:13" ht="63.75">
      <c r="A98" s="59" t="s">
        <v>102</v>
      </c>
      <c r="B98" s="28" t="s">
        <v>15</v>
      </c>
      <c r="C98" s="28" t="s">
        <v>93</v>
      </c>
      <c r="D98" s="28" t="s">
        <v>17</v>
      </c>
      <c r="E98" s="28" t="s">
        <v>104</v>
      </c>
      <c r="F98" s="58" t="s">
        <v>0</v>
      </c>
      <c r="G98" s="35">
        <f>G99</f>
        <v>235372.4</v>
      </c>
      <c r="H98" s="35">
        <f t="shared" ref="H98:K99" si="46">H99</f>
        <v>235372.4</v>
      </c>
      <c r="I98" s="35">
        <f t="shared" si="46"/>
        <v>235372.4</v>
      </c>
      <c r="J98" s="35">
        <f t="shared" si="46"/>
        <v>235372.4</v>
      </c>
      <c r="K98" s="35">
        <f t="shared" si="46"/>
        <v>235372.4</v>
      </c>
      <c r="L98" s="35">
        <f t="shared" si="13"/>
        <v>100</v>
      </c>
      <c r="M98" s="35">
        <f t="shared" si="14"/>
        <v>100</v>
      </c>
    </row>
    <row r="99" spans="1:13" ht="25.5">
      <c r="A99" s="59" t="s">
        <v>39</v>
      </c>
      <c r="B99" s="28" t="s">
        <v>15</v>
      </c>
      <c r="C99" s="28" t="s">
        <v>93</v>
      </c>
      <c r="D99" s="28" t="s">
        <v>17</v>
      </c>
      <c r="E99" s="28" t="s">
        <v>104</v>
      </c>
      <c r="F99" s="28" t="s">
        <v>40</v>
      </c>
      <c r="G99" s="35">
        <f>G100</f>
        <v>235372.4</v>
      </c>
      <c r="H99" s="35">
        <f t="shared" si="46"/>
        <v>235372.4</v>
      </c>
      <c r="I99" s="35">
        <f t="shared" si="46"/>
        <v>235372.4</v>
      </c>
      <c r="J99" s="35">
        <f t="shared" si="46"/>
        <v>235372.4</v>
      </c>
      <c r="K99" s="35">
        <f t="shared" si="46"/>
        <v>235372.4</v>
      </c>
      <c r="L99" s="35">
        <f t="shared" ref="L99:L162" si="47">K99/H99*100</f>
        <v>100</v>
      </c>
      <c r="M99" s="35">
        <f t="shared" ref="M99:M162" si="48">K99/I99*100</f>
        <v>100</v>
      </c>
    </row>
    <row r="100" spans="1:13">
      <c r="A100" s="59" t="s">
        <v>41</v>
      </c>
      <c r="B100" s="28" t="s">
        <v>15</v>
      </c>
      <c r="C100" s="28" t="s">
        <v>93</v>
      </c>
      <c r="D100" s="28" t="s">
        <v>17</v>
      </c>
      <c r="E100" s="28" t="s">
        <v>104</v>
      </c>
      <c r="F100" s="28" t="s">
        <v>42</v>
      </c>
      <c r="G100" s="35">
        <v>235372.4</v>
      </c>
      <c r="H100" s="35">
        <v>235372.4</v>
      </c>
      <c r="I100" s="35">
        <v>235372.4</v>
      </c>
      <c r="J100" s="35">
        <v>235372.4</v>
      </c>
      <c r="K100" s="35">
        <v>235372.4</v>
      </c>
      <c r="L100" s="35">
        <f t="shared" si="47"/>
        <v>100</v>
      </c>
      <c r="M100" s="35">
        <f t="shared" si="48"/>
        <v>100</v>
      </c>
    </row>
    <row r="101" spans="1:13">
      <c r="A101" s="59" t="s">
        <v>105</v>
      </c>
      <c r="B101" s="28" t="s">
        <v>15</v>
      </c>
      <c r="C101" s="28" t="s">
        <v>93</v>
      </c>
      <c r="D101" s="28" t="s">
        <v>106</v>
      </c>
      <c r="E101" s="58" t="s">
        <v>0</v>
      </c>
      <c r="F101" s="58" t="s">
        <v>0</v>
      </c>
      <c r="G101" s="35">
        <f>G102</f>
        <v>107615.4</v>
      </c>
      <c r="H101" s="35">
        <f t="shared" ref="H101:K102" si="49">H102</f>
        <v>107615.36799999999</v>
      </c>
      <c r="I101" s="35">
        <f t="shared" si="49"/>
        <v>42988.23947</v>
      </c>
      <c r="J101" s="35">
        <f t="shared" si="49"/>
        <v>42988.23947</v>
      </c>
      <c r="K101" s="35">
        <f t="shared" si="49"/>
        <v>42988.23947</v>
      </c>
      <c r="L101" s="35">
        <f t="shared" si="47"/>
        <v>39.946190092478247</v>
      </c>
      <c r="M101" s="35">
        <f t="shared" si="48"/>
        <v>100</v>
      </c>
    </row>
    <row r="102" spans="1:13" ht="51">
      <c r="A102" s="59" t="s">
        <v>20</v>
      </c>
      <c r="B102" s="28" t="s">
        <v>15</v>
      </c>
      <c r="C102" s="28" t="s">
        <v>93</v>
      </c>
      <c r="D102" s="28" t="s">
        <v>106</v>
      </c>
      <c r="E102" s="28" t="s">
        <v>21</v>
      </c>
      <c r="F102" s="58" t="s">
        <v>0</v>
      </c>
      <c r="G102" s="35">
        <f>G103</f>
        <v>107615.4</v>
      </c>
      <c r="H102" s="35">
        <f t="shared" si="49"/>
        <v>107615.36799999999</v>
      </c>
      <c r="I102" s="35">
        <f t="shared" si="49"/>
        <v>42988.23947</v>
      </c>
      <c r="J102" s="35">
        <f t="shared" si="49"/>
        <v>42988.23947</v>
      </c>
      <c r="K102" s="35">
        <f t="shared" si="49"/>
        <v>42988.23947</v>
      </c>
      <c r="L102" s="35">
        <f t="shared" si="47"/>
        <v>39.946190092478247</v>
      </c>
      <c r="M102" s="35">
        <f t="shared" si="48"/>
        <v>100</v>
      </c>
    </row>
    <row r="103" spans="1:13" ht="38.25">
      <c r="A103" s="59" t="s">
        <v>52</v>
      </c>
      <c r="B103" s="28" t="s">
        <v>15</v>
      </c>
      <c r="C103" s="28" t="s">
        <v>93</v>
      </c>
      <c r="D103" s="28" t="s">
        <v>106</v>
      </c>
      <c r="E103" s="28" t="s">
        <v>53</v>
      </c>
      <c r="F103" s="58" t="s">
        <v>0</v>
      </c>
      <c r="G103" s="35">
        <f>G104+G107</f>
        <v>107615.4</v>
      </c>
      <c r="H103" s="35">
        <f t="shared" ref="H103:K103" si="50">H104+H107</f>
        <v>107615.36799999999</v>
      </c>
      <c r="I103" s="35">
        <f t="shared" si="50"/>
        <v>42988.23947</v>
      </c>
      <c r="J103" s="35">
        <f t="shared" si="50"/>
        <v>42988.23947</v>
      </c>
      <c r="K103" s="35">
        <f t="shared" si="50"/>
        <v>42988.23947</v>
      </c>
      <c r="L103" s="35">
        <f t="shared" si="47"/>
        <v>39.946190092478247</v>
      </c>
      <c r="M103" s="35">
        <f t="shared" si="48"/>
        <v>100</v>
      </c>
    </row>
    <row r="104" spans="1:13" ht="38.25">
      <c r="A104" s="59" t="s">
        <v>37</v>
      </c>
      <c r="B104" s="28" t="s">
        <v>15</v>
      </c>
      <c r="C104" s="28" t="s">
        <v>93</v>
      </c>
      <c r="D104" s="28" t="s">
        <v>106</v>
      </c>
      <c r="E104" s="28" t="s">
        <v>97</v>
      </c>
      <c r="F104" s="58" t="s">
        <v>0</v>
      </c>
      <c r="G104" s="35">
        <f>G105</f>
        <v>107273.4</v>
      </c>
      <c r="H104" s="35">
        <f t="shared" ref="H104:K105" si="51">H105</f>
        <v>107273.4</v>
      </c>
      <c r="I104" s="35">
        <f t="shared" si="51"/>
        <v>42646.27147</v>
      </c>
      <c r="J104" s="35">
        <f t="shared" si="51"/>
        <v>42646.27147</v>
      </c>
      <c r="K104" s="35">
        <f t="shared" si="51"/>
        <v>42646.27147</v>
      </c>
      <c r="L104" s="35">
        <f t="shared" si="47"/>
        <v>39.754749518519972</v>
      </c>
      <c r="M104" s="35">
        <f t="shared" si="48"/>
        <v>100</v>
      </c>
    </row>
    <row r="105" spans="1:13" ht="25.5">
      <c r="A105" s="59" t="s">
        <v>39</v>
      </c>
      <c r="B105" s="28" t="s">
        <v>15</v>
      </c>
      <c r="C105" s="28" t="s">
        <v>93</v>
      </c>
      <c r="D105" s="28" t="s">
        <v>106</v>
      </c>
      <c r="E105" s="28" t="s">
        <v>97</v>
      </c>
      <c r="F105" s="28" t="s">
        <v>40</v>
      </c>
      <c r="G105" s="35">
        <f>G106</f>
        <v>107273.4</v>
      </c>
      <c r="H105" s="35">
        <f t="shared" si="51"/>
        <v>107273.4</v>
      </c>
      <c r="I105" s="35">
        <f t="shared" si="51"/>
        <v>42646.27147</v>
      </c>
      <c r="J105" s="35">
        <f t="shared" si="51"/>
        <v>42646.27147</v>
      </c>
      <c r="K105" s="35">
        <f t="shared" si="51"/>
        <v>42646.27147</v>
      </c>
      <c r="L105" s="35">
        <f t="shared" si="47"/>
        <v>39.754749518519972</v>
      </c>
      <c r="M105" s="35">
        <f t="shared" si="48"/>
        <v>100</v>
      </c>
    </row>
    <row r="106" spans="1:13">
      <c r="A106" s="59" t="s">
        <v>41</v>
      </c>
      <c r="B106" s="28" t="s">
        <v>15</v>
      </c>
      <c r="C106" s="28" t="s">
        <v>93</v>
      </c>
      <c r="D106" s="28" t="s">
        <v>106</v>
      </c>
      <c r="E106" s="28" t="s">
        <v>97</v>
      </c>
      <c r="F106" s="28" t="s">
        <v>42</v>
      </c>
      <c r="G106" s="35">
        <v>107273.4</v>
      </c>
      <c r="H106" s="35">
        <v>107273.4</v>
      </c>
      <c r="I106" s="35">
        <v>42646.27147</v>
      </c>
      <c r="J106" s="35">
        <v>42646.27147</v>
      </c>
      <c r="K106" s="35">
        <v>42646.27147</v>
      </c>
      <c r="L106" s="35">
        <f t="shared" si="47"/>
        <v>39.754749518519972</v>
      </c>
      <c r="M106" s="35">
        <f t="shared" si="48"/>
        <v>100</v>
      </c>
    </row>
    <row r="107" spans="1:13" ht="25.5">
      <c r="A107" s="59" t="s">
        <v>107</v>
      </c>
      <c r="B107" s="28" t="s">
        <v>15</v>
      </c>
      <c r="C107" s="28" t="s">
        <v>93</v>
      </c>
      <c r="D107" s="28" t="s">
        <v>106</v>
      </c>
      <c r="E107" s="28" t="s">
        <v>108</v>
      </c>
      <c r="F107" s="58" t="s">
        <v>0</v>
      </c>
      <c r="G107" s="35">
        <f>G108</f>
        <v>342</v>
      </c>
      <c r="H107" s="35">
        <f t="shared" ref="H107:K108" si="52">H108</f>
        <v>341.96800000000002</v>
      </c>
      <c r="I107" s="35">
        <f t="shared" si="52"/>
        <v>341.96800000000002</v>
      </c>
      <c r="J107" s="35">
        <f t="shared" si="52"/>
        <v>341.96800000000002</v>
      </c>
      <c r="K107" s="35">
        <f t="shared" si="52"/>
        <v>341.96800000000002</v>
      </c>
      <c r="L107" s="35">
        <f t="shared" si="47"/>
        <v>100</v>
      </c>
      <c r="M107" s="35">
        <f t="shared" si="48"/>
        <v>100</v>
      </c>
    </row>
    <row r="108" spans="1:13">
      <c r="A108" s="59" t="s">
        <v>26</v>
      </c>
      <c r="B108" s="28" t="s">
        <v>15</v>
      </c>
      <c r="C108" s="28" t="s">
        <v>93</v>
      </c>
      <c r="D108" s="28" t="s">
        <v>106</v>
      </c>
      <c r="E108" s="28" t="s">
        <v>108</v>
      </c>
      <c r="F108" s="28" t="s">
        <v>27</v>
      </c>
      <c r="G108" s="35">
        <f>G109</f>
        <v>342</v>
      </c>
      <c r="H108" s="35">
        <f t="shared" si="52"/>
        <v>341.96800000000002</v>
      </c>
      <c r="I108" s="35">
        <f t="shared" si="52"/>
        <v>341.96800000000002</v>
      </c>
      <c r="J108" s="35">
        <f t="shared" si="52"/>
        <v>341.96800000000002</v>
      </c>
      <c r="K108" s="35">
        <f t="shared" si="52"/>
        <v>341.96800000000002</v>
      </c>
      <c r="L108" s="35">
        <f t="shared" si="47"/>
        <v>100</v>
      </c>
      <c r="M108" s="35">
        <f t="shared" si="48"/>
        <v>100</v>
      </c>
    </row>
    <row r="109" spans="1:13">
      <c r="A109" s="59" t="s">
        <v>56</v>
      </c>
      <c r="B109" s="28" t="s">
        <v>15</v>
      </c>
      <c r="C109" s="28" t="s">
        <v>93</v>
      </c>
      <c r="D109" s="28" t="s">
        <v>106</v>
      </c>
      <c r="E109" s="28" t="s">
        <v>108</v>
      </c>
      <c r="F109" s="28" t="s">
        <v>57</v>
      </c>
      <c r="G109" s="35">
        <v>342</v>
      </c>
      <c r="H109" s="35">
        <v>341.96800000000002</v>
      </c>
      <c r="I109" s="35">
        <v>341.96800000000002</v>
      </c>
      <c r="J109" s="35">
        <v>341.96800000000002</v>
      </c>
      <c r="K109" s="35">
        <v>341.96800000000002</v>
      </c>
      <c r="L109" s="35">
        <f t="shared" si="47"/>
        <v>100</v>
      </c>
      <c r="M109" s="35">
        <f t="shared" si="48"/>
        <v>100</v>
      </c>
    </row>
    <row r="110" spans="1:13">
      <c r="A110" s="60" t="s">
        <v>0</v>
      </c>
      <c r="B110" s="58" t="s">
        <v>0</v>
      </c>
      <c r="C110" s="58" t="s">
        <v>0</v>
      </c>
      <c r="D110" s="58" t="s">
        <v>0</v>
      </c>
      <c r="E110" s="58" t="s">
        <v>0</v>
      </c>
      <c r="F110" s="58" t="s">
        <v>0</v>
      </c>
      <c r="G110" s="61" t="s">
        <v>0</v>
      </c>
      <c r="H110" s="61" t="s">
        <v>0</v>
      </c>
      <c r="I110" s="61" t="s">
        <v>0</v>
      </c>
      <c r="J110" s="61" t="s">
        <v>0</v>
      </c>
      <c r="K110" s="61" t="s">
        <v>0</v>
      </c>
      <c r="L110" s="35"/>
      <c r="M110" s="35"/>
    </row>
    <row r="111" spans="1:13">
      <c r="A111" s="59" t="s">
        <v>109</v>
      </c>
      <c r="B111" s="28" t="s">
        <v>15</v>
      </c>
      <c r="C111" s="28" t="s">
        <v>110</v>
      </c>
      <c r="D111" s="58" t="s">
        <v>0</v>
      </c>
      <c r="E111" s="58" t="s">
        <v>0</v>
      </c>
      <c r="F111" s="58" t="s">
        <v>0</v>
      </c>
      <c r="G111" s="35">
        <f>G112+G125+G154</f>
        <v>450494.63999999996</v>
      </c>
      <c r="H111" s="35">
        <f t="shared" ref="H111:K111" si="53">H112+H125+H154</f>
        <v>457804.56857000006</v>
      </c>
      <c r="I111" s="35">
        <f t="shared" si="53"/>
        <v>302609.21000000002</v>
      </c>
      <c r="J111" s="35">
        <f t="shared" si="53"/>
        <v>302046.10171999998</v>
      </c>
      <c r="K111" s="35">
        <f t="shared" si="53"/>
        <v>302046.10171999998</v>
      </c>
      <c r="L111" s="35">
        <f t="shared" si="47"/>
        <v>65.977083335684526</v>
      </c>
      <c r="M111" s="35">
        <f t="shared" si="48"/>
        <v>99.813915683531235</v>
      </c>
    </row>
    <row r="112" spans="1:13">
      <c r="A112" s="59" t="s">
        <v>111</v>
      </c>
      <c r="B112" s="28" t="s">
        <v>15</v>
      </c>
      <c r="C112" s="28" t="s">
        <v>110</v>
      </c>
      <c r="D112" s="28" t="s">
        <v>17</v>
      </c>
      <c r="E112" s="58" t="s">
        <v>0</v>
      </c>
      <c r="F112" s="58" t="s">
        <v>0</v>
      </c>
      <c r="G112" s="35">
        <f>G113</f>
        <v>207281.8</v>
      </c>
      <c r="H112" s="35">
        <f>H113+H121</f>
        <v>207881.78988</v>
      </c>
      <c r="I112" s="35">
        <f t="shared" ref="I112:K112" si="54">I113+I121</f>
        <v>175023.66791000002</v>
      </c>
      <c r="J112" s="35">
        <f t="shared" si="54"/>
        <v>175023.66791000002</v>
      </c>
      <c r="K112" s="35">
        <f t="shared" si="54"/>
        <v>175023.66791000002</v>
      </c>
      <c r="L112" s="35">
        <f t="shared" si="47"/>
        <v>84.193843054282254</v>
      </c>
      <c r="M112" s="35">
        <f t="shared" si="48"/>
        <v>100</v>
      </c>
    </row>
    <row r="113" spans="1:13" ht="38.25">
      <c r="A113" s="59" t="s">
        <v>112</v>
      </c>
      <c r="B113" s="28" t="s">
        <v>15</v>
      </c>
      <c r="C113" s="28" t="s">
        <v>110</v>
      </c>
      <c r="D113" s="28" t="s">
        <v>17</v>
      </c>
      <c r="E113" s="28" t="s">
        <v>113</v>
      </c>
      <c r="F113" s="58" t="s">
        <v>0</v>
      </c>
      <c r="G113" s="35">
        <f>G114</f>
        <v>207281.8</v>
      </c>
      <c r="H113" s="35">
        <f t="shared" ref="H113:K116" si="55">H114</f>
        <v>207281.78988</v>
      </c>
      <c r="I113" s="35">
        <f t="shared" si="55"/>
        <v>174423.66791000002</v>
      </c>
      <c r="J113" s="35">
        <f t="shared" si="55"/>
        <v>174423.66791000002</v>
      </c>
      <c r="K113" s="35">
        <f t="shared" si="55"/>
        <v>174423.66791000002</v>
      </c>
      <c r="L113" s="35">
        <f t="shared" si="47"/>
        <v>84.148090389887955</v>
      </c>
      <c r="M113" s="35">
        <f t="shared" si="48"/>
        <v>100</v>
      </c>
    </row>
    <row r="114" spans="1:13" ht="38.25">
      <c r="A114" s="59" t="s">
        <v>114</v>
      </c>
      <c r="B114" s="28" t="s">
        <v>15</v>
      </c>
      <c r="C114" s="28" t="s">
        <v>110</v>
      </c>
      <c r="D114" s="28" t="s">
        <v>17</v>
      </c>
      <c r="E114" s="28" t="s">
        <v>115</v>
      </c>
      <c r="F114" s="58" t="s">
        <v>0</v>
      </c>
      <c r="G114" s="35">
        <f>G115+G118</f>
        <v>207281.8</v>
      </c>
      <c r="H114" s="35">
        <f>H115+H118</f>
        <v>207281.78988</v>
      </c>
      <c r="I114" s="35">
        <f t="shared" ref="I114:K114" si="56">I115+I118</f>
        <v>174423.66791000002</v>
      </c>
      <c r="J114" s="35">
        <f t="shared" si="56"/>
        <v>174423.66791000002</v>
      </c>
      <c r="K114" s="35">
        <f t="shared" si="56"/>
        <v>174423.66791000002</v>
      </c>
      <c r="L114" s="35">
        <f t="shared" si="47"/>
        <v>84.148090389887955</v>
      </c>
      <c r="M114" s="35">
        <f t="shared" si="48"/>
        <v>100</v>
      </c>
    </row>
    <row r="115" spans="1:13" ht="25.5">
      <c r="A115" s="59" t="s">
        <v>107</v>
      </c>
      <c r="B115" s="28" t="s">
        <v>15</v>
      </c>
      <c r="C115" s="28" t="s">
        <v>110</v>
      </c>
      <c r="D115" s="28" t="s">
        <v>17</v>
      </c>
      <c r="E115" s="28" t="s">
        <v>116</v>
      </c>
      <c r="F115" s="58" t="s">
        <v>0</v>
      </c>
      <c r="G115" s="35">
        <f>G116</f>
        <v>161665.79999999999</v>
      </c>
      <c r="H115" s="35">
        <f t="shared" si="55"/>
        <v>161665.78988</v>
      </c>
      <c r="I115" s="35">
        <f t="shared" si="55"/>
        <v>128807.66791</v>
      </c>
      <c r="J115" s="35">
        <f t="shared" si="55"/>
        <v>128807.66791</v>
      </c>
      <c r="K115" s="35">
        <f t="shared" si="55"/>
        <v>128807.66791</v>
      </c>
      <c r="L115" s="35">
        <f t="shared" si="47"/>
        <v>79.675278242608002</v>
      </c>
      <c r="M115" s="35">
        <f t="shared" si="48"/>
        <v>100</v>
      </c>
    </row>
    <row r="116" spans="1:13">
      <c r="A116" s="59" t="s">
        <v>26</v>
      </c>
      <c r="B116" s="28" t="s">
        <v>15</v>
      </c>
      <c r="C116" s="28" t="s">
        <v>110</v>
      </c>
      <c r="D116" s="28" t="s">
        <v>17</v>
      </c>
      <c r="E116" s="28" t="s">
        <v>116</v>
      </c>
      <c r="F116" s="28" t="s">
        <v>27</v>
      </c>
      <c r="G116" s="35">
        <f>G117</f>
        <v>161665.79999999999</v>
      </c>
      <c r="H116" s="35">
        <f t="shared" si="55"/>
        <v>161665.78988</v>
      </c>
      <c r="I116" s="35">
        <f t="shared" si="55"/>
        <v>128807.66791</v>
      </c>
      <c r="J116" s="35">
        <f t="shared" si="55"/>
        <v>128807.66791</v>
      </c>
      <c r="K116" s="35">
        <f t="shared" si="55"/>
        <v>128807.66791</v>
      </c>
      <c r="L116" s="35">
        <f t="shared" si="47"/>
        <v>79.675278242608002</v>
      </c>
      <c r="M116" s="35">
        <f t="shared" si="48"/>
        <v>100</v>
      </c>
    </row>
    <row r="117" spans="1:13">
      <c r="A117" s="59" t="s">
        <v>56</v>
      </c>
      <c r="B117" s="28" t="s">
        <v>15</v>
      </c>
      <c r="C117" s="28" t="s">
        <v>110</v>
      </c>
      <c r="D117" s="28" t="s">
        <v>17</v>
      </c>
      <c r="E117" s="28" t="s">
        <v>116</v>
      </c>
      <c r="F117" s="28" t="s">
        <v>57</v>
      </c>
      <c r="G117" s="35">
        <v>161665.79999999999</v>
      </c>
      <c r="H117" s="35">
        <v>161665.78988</v>
      </c>
      <c r="I117" s="35">
        <v>128807.66791</v>
      </c>
      <c r="J117" s="35">
        <v>128807.66791</v>
      </c>
      <c r="K117" s="35">
        <v>128807.66791</v>
      </c>
      <c r="L117" s="35">
        <f t="shared" si="47"/>
        <v>79.675278242608002</v>
      </c>
      <c r="M117" s="35">
        <f t="shared" si="48"/>
        <v>100</v>
      </c>
    </row>
    <row r="118" spans="1:13" ht="51">
      <c r="A118" s="59" t="s">
        <v>117</v>
      </c>
      <c r="B118" s="28" t="s">
        <v>15</v>
      </c>
      <c r="C118" s="28" t="s">
        <v>110</v>
      </c>
      <c r="D118" s="28" t="s">
        <v>17</v>
      </c>
      <c r="E118" s="28" t="s">
        <v>118</v>
      </c>
      <c r="F118" s="58" t="s">
        <v>0</v>
      </c>
      <c r="G118" s="35">
        <f>G119</f>
        <v>45616</v>
      </c>
      <c r="H118" s="35">
        <f t="shared" ref="H118:K119" si="57">H119</f>
        <v>45616</v>
      </c>
      <c r="I118" s="35">
        <f t="shared" si="57"/>
        <v>45616</v>
      </c>
      <c r="J118" s="35">
        <f t="shared" si="57"/>
        <v>45616</v>
      </c>
      <c r="K118" s="35">
        <f t="shared" si="57"/>
        <v>45616</v>
      </c>
      <c r="L118" s="35">
        <f t="shared" si="47"/>
        <v>100</v>
      </c>
      <c r="M118" s="35">
        <f t="shared" si="48"/>
        <v>100</v>
      </c>
    </row>
    <row r="119" spans="1:13">
      <c r="A119" s="59" t="s">
        <v>26</v>
      </c>
      <c r="B119" s="28" t="s">
        <v>15</v>
      </c>
      <c r="C119" s="28" t="s">
        <v>110</v>
      </c>
      <c r="D119" s="28" t="s">
        <v>17</v>
      </c>
      <c r="E119" s="28" t="s">
        <v>118</v>
      </c>
      <c r="F119" s="28" t="s">
        <v>27</v>
      </c>
      <c r="G119" s="35">
        <f>G120</f>
        <v>45616</v>
      </c>
      <c r="H119" s="35">
        <f t="shared" si="57"/>
        <v>45616</v>
      </c>
      <c r="I119" s="35">
        <f t="shared" si="57"/>
        <v>45616</v>
      </c>
      <c r="J119" s="35">
        <f t="shared" si="57"/>
        <v>45616</v>
      </c>
      <c r="K119" s="35">
        <f t="shared" si="57"/>
        <v>45616</v>
      </c>
      <c r="L119" s="35">
        <f t="shared" si="47"/>
        <v>100</v>
      </c>
      <c r="M119" s="35">
        <f t="shared" si="48"/>
        <v>100</v>
      </c>
    </row>
    <row r="120" spans="1:13">
      <c r="A120" s="59" t="s">
        <v>56</v>
      </c>
      <c r="B120" s="28" t="s">
        <v>15</v>
      </c>
      <c r="C120" s="28" t="s">
        <v>110</v>
      </c>
      <c r="D120" s="28" t="s">
        <v>17</v>
      </c>
      <c r="E120" s="28" t="s">
        <v>118</v>
      </c>
      <c r="F120" s="28" t="s">
        <v>57</v>
      </c>
      <c r="G120" s="35">
        <v>45616</v>
      </c>
      <c r="H120" s="35">
        <v>45616</v>
      </c>
      <c r="I120" s="35">
        <v>45616</v>
      </c>
      <c r="J120" s="35">
        <v>45616</v>
      </c>
      <c r="K120" s="35">
        <v>45616</v>
      </c>
      <c r="L120" s="35">
        <f t="shared" si="47"/>
        <v>100</v>
      </c>
      <c r="M120" s="35">
        <f t="shared" si="48"/>
        <v>100</v>
      </c>
    </row>
    <row r="121" spans="1:13" s="91" customFormat="1">
      <c r="A121" s="62" t="s">
        <v>612</v>
      </c>
      <c r="B121" s="28" t="s">
        <v>15</v>
      </c>
      <c r="C121" s="28" t="s">
        <v>110</v>
      </c>
      <c r="D121" s="28" t="s">
        <v>17</v>
      </c>
      <c r="E121" s="29" t="s">
        <v>613</v>
      </c>
      <c r="F121" s="28"/>
      <c r="G121" s="35"/>
      <c r="H121" s="35">
        <f>H122</f>
        <v>600</v>
      </c>
      <c r="I121" s="35">
        <f t="shared" ref="I121:K123" si="58">I122</f>
        <v>600</v>
      </c>
      <c r="J121" s="35">
        <f t="shared" si="58"/>
        <v>600</v>
      </c>
      <c r="K121" s="35">
        <f t="shared" si="58"/>
        <v>600</v>
      </c>
      <c r="L121" s="35">
        <f t="shared" si="47"/>
        <v>100</v>
      </c>
      <c r="M121" s="35">
        <f t="shared" si="48"/>
        <v>100</v>
      </c>
    </row>
    <row r="122" spans="1:13" s="91" customFormat="1">
      <c r="A122" s="59" t="s">
        <v>612</v>
      </c>
      <c r="B122" s="28" t="s">
        <v>15</v>
      </c>
      <c r="C122" s="28" t="s">
        <v>110</v>
      </c>
      <c r="D122" s="28" t="s">
        <v>17</v>
      </c>
      <c r="E122" s="29" t="s">
        <v>614</v>
      </c>
      <c r="F122" s="28"/>
      <c r="G122" s="35"/>
      <c r="H122" s="35">
        <f>H123</f>
        <v>600</v>
      </c>
      <c r="I122" s="35">
        <f t="shared" si="58"/>
        <v>600</v>
      </c>
      <c r="J122" s="35">
        <f t="shared" si="58"/>
        <v>600</v>
      </c>
      <c r="K122" s="35">
        <f t="shared" si="58"/>
        <v>600</v>
      </c>
      <c r="L122" s="35">
        <f t="shared" si="47"/>
        <v>100</v>
      </c>
      <c r="M122" s="35">
        <f t="shared" si="48"/>
        <v>100</v>
      </c>
    </row>
    <row r="123" spans="1:13" s="91" customFormat="1">
      <c r="A123" s="59" t="s">
        <v>26</v>
      </c>
      <c r="B123" s="28" t="s">
        <v>15</v>
      </c>
      <c r="C123" s="28" t="s">
        <v>110</v>
      </c>
      <c r="D123" s="28" t="s">
        <v>17</v>
      </c>
      <c r="E123" s="29" t="s">
        <v>614</v>
      </c>
      <c r="F123" s="28">
        <v>500</v>
      </c>
      <c r="G123" s="35"/>
      <c r="H123" s="35">
        <f>H124</f>
        <v>600</v>
      </c>
      <c r="I123" s="35">
        <f t="shared" si="58"/>
        <v>600</v>
      </c>
      <c r="J123" s="35">
        <f t="shared" si="58"/>
        <v>600</v>
      </c>
      <c r="K123" s="35">
        <f t="shared" si="58"/>
        <v>600</v>
      </c>
      <c r="L123" s="35">
        <f t="shared" si="47"/>
        <v>100</v>
      </c>
      <c r="M123" s="35">
        <f t="shared" si="48"/>
        <v>100</v>
      </c>
    </row>
    <row r="124" spans="1:13" s="91" customFormat="1">
      <c r="A124" s="76" t="s">
        <v>352</v>
      </c>
      <c r="B124" s="28" t="s">
        <v>15</v>
      </c>
      <c r="C124" s="28" t="s">
        <v>110</v>
      </c>
      <c r="D124" s="28" t="s">
        <v>17</v>
      </c>
      <c r="E124" s="29" t="s">
        <v>614</v>
      </c>
      <c r="F124" s="28">
        <v>540</v>
      </c>
      <c r="G124" s="35"/>
      <c r="H124" s="35">
        <v>600</v>
      </c>
      <c r="I124" s="35">
        <v>600</v>
      </c>
      <c r="J124" s="35">
        <v>600</v>
      </c>
      <c r="K124" s="35">
        <v>600</v>
      </c>
      <c r="L124" s="35">
        <f t="shared" si="47"/>
        <v>100</v>
      </c>
      <c r="M124" s="35">
        <f t="shared" si="48"/>
        <v>100</v>
      </c>
    </row>
    <row r="125" spans="1:13">
      <c r="A125" s="59" t="s">
        <v>119</v>
      </c>
      <c r="B125" s="28" t="s">
        <v>15</v>
      </c>
      <c r="C125" s="28" t="s">
        <v>110</v>
      </c>
      <c r="D125" s="28" t="s">
        <v>106</v>
      </c>
      <c r="E125" s="58" t="s">
        <v>0</v>
      </c>
      <c r="F125" s="58" t="s">
        <v>0</v>
      </c>
      <c r="G125" s="35">
        <f>G126+G140+G144</f>
        <v>242840.74</v>
      </c>
      <c r="H125" s="35">
        <f t="shared" ref="H125:K125" si="59">H126+H140+H144</f>
        <v>249550.70554000002</v>
      </c>
      <c r="I125" s="35">
        <f t="shared" si="59"/>
        <v>127250.71315</v>
      </c>
      <c r="J125" s="35">
        <f t="shared" si="59"/>
        <v>126687.60487</v>
      </c>
      <c r="K125" s="35">
        <f t="shared" si="59"/>
        <v>126687.60487</v>
      </c>
      <c r="L125" s="35">
        <f t="shared" si="47"/>
        <v>50.766277977800975</v>
      </c>
      <c r="M125" s="35">
        <f t="shared" si="48"/>
        <v>99.55748123836743</v>
      </c>
    </row>
    <row r="126" spans="1:13" ht="38.25">
      <c r="A126" s="59" t="s">
        <v>112</v>
      </c>
      <c r="B126" s="28" t="s">
        <v>15</v>
      </c>
      <c r="C126" s="28" t="s">
        <v>110</v>
      </c>
      <c r="D126" s="28" t="s">
        <v>106</v>
      </c>
      <c r="E126" s="28" t="s">
        <v>113</v>
      </c>
      <c r="F126" s="58" t="s">
        <v>0</v>
      </c>
      <c r="G126" s="35">
        <f>G127</f>
        <v>149840.6</v>
      </c>
      <c r="H126" s="35">
        <f t="shared" ref="H126:K126" si="60">H127</f>
        <v>149840.61673000001</v>
      </c>
      <c r="I126" s="35">
        <f t="shared" si="60"/>
        <v>34169.491750000001</v>
      </c>
      <c r="J126" s="35">
        <f t="shared" si="60"/>
        <v>33606.383470000001</v>
      </c>
      <c r="K126" s="35">
        <f t="shared" si="60"/>
        <v>33606.383470000001</v>
      </c>
      <c r="L126" s="35">
        <f t="shared" si="47"/>
        <v>22.42808672534753</v>
      </c>
      <c r="M126" s="35">
        <f t="shared" si="48"/>
        <v>98.352014469164587</v>
      </c>
    </row>
    <row r="127" spans="1:13" ht="38.25">
      <c r="A127" s="59" t="s">
        <v>114</v>
      </c>
      <c r="B127" s="28" t="s">
        <v>15</v>
      </c>
      <c r="C127" s="28" t="s">
        <v>110</v>
      </c>
      <c r="D127" s="28" t="s">
        <v>106</v>
      </c>
      <c r="E127" s="28" t="s">
        <v>115</v>
      </c>
      <c r="F127" s="58" t="s">
        <v>0</v>
      </c>
      <c r="G127" s="35">
        <f>G131+G137+G128+G134</f>
        <v>149840.6</v>
      </c>
      <c r="H127" s="35">
        <f t="shared" ref="H127:K127" si="61">H131+H137+H128+H134</f>
        <v>149840.61673000001</v>
      </c>
      <c r="I127" s="35">
        <f t="shared" si="61"/>
        <v>34169.491750000001</v>
      </c>
      <c r="J127" s="35">
        <f t="shared" si="61"/>
        <v>33606.383470000001</v>
      </c>
      <c r="K127" s="35">
        <f t="shared" si="61"/>
        <v>33606.383470000001</v>
      </c>
      <c r="L127" s="35">
        <f t="shared" si="47"/>
        <v>22.42808672534753</v>
      </c>
      <c r="M127" s="35">
        <f t="shared" si="48"/>
        <v>98.352014469164587</v>
      </c>
    </row>
    <row r="128" spans="1:13" s="88" customFormat="1" ht="45" customHeight="1">
      <c r="A128" s="59" t="s">
        <v>1225</v>
      </c>
      <c r="B128" s="28" t="s">
        <v>15</v>
      </c>
      <c r="C128" s="28" t="s">
        <v>110</v>
      </c>
      <c r="D128" s="28" t="s">
        <v>106</v>
      </c>
      <c r="E128" s="29" t="s">
        <v>1227</v>
      </c>
      <c r="F128" s="58"/>
      <c r="G128" s="35">
        <f>G129</f>
        <v>114100</v>
      </c>
      <c r="H128" s="35">
        <f t="shared" ref="H128:K129" si="62">H129</f>
        <v>114100</v>
      </c>
      <c r="I128" s="35">
        <f t="shared" si="62"/>
        <v>25000</v>
      </c>
      <c r="J128" s="35">
        <f t="shared" si="62"/>
        <v>25000</v>
      </c>
      <c r="K128" s="35">
        <f t="shared" si="62"/>
        <v>25000</v>
      </c>
      <c r="L128" s="35">
        <f t="shared" si="47"/>
        <v>21.910604732690622</v>
      </c>
      <c r="M128" s="35">
        <f t="shared" si="48"/>
        <v>100</v>
      </c>
    </row>
    <row r="129" spans="1:13" s="88" customFormat="1">
      <c r="A129" s="59" t="s">
        <v>26</v>
      </c>
      <c r="B129" s="28" t="s">
        <v>15</v>
      </c>
      <c r="C129" s="28" t="s">
        <v>110</v>
      </c>
      <c r="D129" s="28" t="s">
        <v>106</v>
      </c>
      <c r="E129" s="29" t="s">
        <v>1227</v>
      </c>
      <c r="F129" s="58">
        <v>500</v>
      </c>
      <c r="G129" s="35">
        <f>G130</f>
        <v>114100</v>
      </c>
      <c r="H129" s="35">
        <f t="shared" si="62"/>
        <v>114100</v>
      </c>
      <c r="I129" s="35">
        <f t="shared" si="62"/>
        <v>25000</v>
      </c>
      <c r="J129" s="35">
        <f t="shared" si="62"/>
        <v>25000</v>
      </c>
      <c r="K129" s="35">
        <f t="shared" si="62"/>
        <v>25000</v>
      </c>
      <c r="L129" s="35">
        <f t="shared" si="47"/>
        <v>21.910604732690622</v>
      </c>
      <c r="M129" s="35">
        <f t="shared" si="48"/>
        <v>100</v>
      </c>
    </row>
    <row r="130" spans="1:13" s="88" customFormat="1">
      <c r="A130" s="59" t="s">
        <v>56</v>
      </c>
      <c r="B130" s="28" t="s">
        <v>15</v>
      </c>
      <c r="C130" s="28" t="s">
        <v>110</v>
      </c>
      <c r="D130" s="28" t="s">
        <v>106</v>
      </c>
      <c r="E130" s="29" t="s">
        <v>1227</v>
      </c>
      <c r="F130" s="58">
        <v>520</v>
      </c>
      <c r="G130" s="35">
        <v>114100</v>
      </c>
      <c r="H130" s="35">
        <v>114100</v>
      </c>
      <c r="I130" s="35">
        <v>25000</v>
      </c>
      <c r="J130" s="35">
        <v>25000</v>
      </c>
      <c r="K130" s="35">
        <v>25000</v>
      </c>
      <c r="L130" s="35">
        <f t="shared" si="47"/>
        <v>21.910604732690622</v>
      </c>
      <c r="M130" s="35">
        <f t="shared" si="48"/>
        <v>100</v>
      </c>
    </row>
    <row r="131" spans="1:13" ht="25.5">
      <c r="A131" s="59" t="s">
        <v>76</v>
      </c>
      <c r="B131" s="28" t="s">
        <v>15</v>
      </c>
      <c r="C131" s="28" t="s">
        <v>110</v>
      </c>
      <c r="D131" s="28" t="s">
        <v>106</v>
      </c>
      <c r="E131" s="28" t="s">
        <v>120</v>
      </c>
      <c r="F131" s="58" t="s">
        <v>0</v>
      </c>
      <c r="G131" s="35">
        <f>G132</f>
        <v>27640.6</v>
      </c>
      <c r="H131" s="35">
        <f t="shared" ref="H131:K132" si="63">H132</f>
        <v>27640.616730000002</v>
      </c>
      <c r="I131" s="35">
        <f t="shared" si="63"/>
        <v>1169.4917499999999</v>
      </c>
      <c r="J131" s="35">
        <f t="shared" si="63"/>
        <v>606.38346999999999</v>
      </c>
      <c r="K131" s="35">
        <f t="shared" si="63"/>
        <v>606.38346999999999</v>
      </c>
      <c r="L131" s="35">
        <f t="shared" si="47"/>
        <v>2.1938130973100036</v>
      </c>
      <c r="M131" s="35">
        <f t="shared" si="48"/>
        <v>51.850170811380245</v>
      </c>
    </row>
    <row r="132" spans="1:13" ht="25.5">
      <c r="A132" s="59" t="s">
        <v>64</v>
      </c>
      <c r="B132" s="28" t="s">
        <v>15</v>
      </c>
      <c r="C132" s="28" t="s">
        <v>110</v>
      </c>
      <c r="D132" s="28" t="s">
        <v>106</v>
      </c>
      <c r="E132" s="28" t="s">
        <v>120</v>
      </c>
      <c r="F132" s="28" t="s">
        <v>65</v>
      </c>
      <c r="G132" s="35">
        <f>G133</f>
        <v>27640.6</v>
      </c>
      <c r="H132" s="35">
        <f t="shared" si="63"/>
        <v>27640.616730000002</v>
      </c>
      <c r="I132" s="35">
        <f t="shared" si="63"/>
        <v>1169.4917499999999</v>
      </c>
      <c r="J132" s="35">
        <f t="shared" si="63"/>
        <v>606.38346999999999</v>
      </c>
      <c r="K132" s="35">
        <f t="shared" si="63"/>
        <v>606.38346999999999</v>
      </c>
      <c r="L132" s="35">
        <f t="shared" si="47"/>
        <v>2.1938130973100036</v>
      </c>
      <c r="M132" s="35">
        <f t="shared" si="48"/>
        <v>51.850170811380245</v>
      </c>
    </row>
    <row r="133" spans="1:13" ht="25.5">
      <c r="A133" s="59" t="s">
        <v>66</v>
      </c>
      <c r="B133" s="28" t="s">
        <v>15</v>
      </c>
      <c r="C133" s="28" t="s">
        <v>110</v>
      </c>
      <c r="D133" s="28" t="s">
        <v>106</v>
      </c>
      <c r="E133" s="28" t="s">
        <v>120</v>
      </c>
      <c r="F133" s="28" t="s">
        <v>67</v>
      </c>
      <c r="G133" s="35">
        <v>27640.6</v>
      </c>
      <c r="H133" s="35">
        <v>27640.616730000002</v>
      </c>
      <c r="I133" s="35">
        <v>1169.4917499999999</v>
      </c>
      <c r="J133" s="35">
        <v>606.38346999999999</v>
      </c>
      <c r="K133" s="35">
        <v>606.38346999999999</v>
      </c>
      <c r="L133" s="35">
        <f t="shared" si="47"/>
        <v>2.1938130973100036</v>
      </c>
      <c r="M133" s="35">
        <f t="shared" si="48"/>
        <v>51.850170811380245</v>
      </c>
    </row>
    <row r="134" spans="1:13" s="88" customFormat="1" ht="51">
      <c r="A134" s="62" t="s">
        <v>1228</v>
      </c>
      <c r="B134" s="28" t="s">
        <v>15</v>
      </c>
      <c r="C134" s="28" t="s">
        <v>110</v>
      </c>
      <c r="D134" s="28" t="s">
        <v>106</v>
      </c>
      <c r="E134" s="90" t="s">
        <v>1226</v>
      </c>
      <c r="F134" s="28"/>
      <c r="G134" s="35">
        <f>G135</f>
        <v>8100</v>
      </c>
      <c r="H134" s="35">
        <f t="shared" ref="H134:K135" si="64">H135</f>
        <v>8100</v>
      </c>
      <c r="I134" s="35">
        <f t="shared" si="64"/>
        <v>8000</v>
      </c>
      <c r="J134" s="35">
        <f t="shared" si="64"/>
        <v>8000</v>
      </c>
      <c r="K134" s="35">
        <f t="shared" si="64"/>
        <v>8000</v>
      </c>
      <c r="L134" s="35">
        <f t="shared" si="47"/>
        <v>98.76543209876543</v>
      </c>
      <c r="M134" s="35">
        <f t="shared" si="48"/>
        <v>100</v>
      </c>
    </row>
    <row r="135" spans="1:13" s="88" customFormat="1">
      <c r="A135" s="59" t="s">
        <v>26</v>
      </c>
      <c r="B135" s="28" t="s">
        <v>15</v>
      </c>
      <c r="C135" s="28" t="s">
        <v>110</v>
      </c>
      <c r="D135" s="28" t="s">
        <v>106</v>
      </c>
      <c r="E135" s="90" t="s">
        <v>1226</v>
      </c>
      <c r="F135" s="28">
        <v>500</v>
      </c>
      <c r="G135" s="35">
        <f>G136</f>
        <v>8100</v>
      </c>
      <c r="H135" s="35">
        <f t="shared" si="64"/>
        <v>8100</v>
      </c>
      <c r="I135" s="35">
        <f t="shared" si="64"/>
        <v>8000</v>
      </c>
      <c r="J135" s="35">
        <f t="shared" si="64"/>
        <v>8000</v>
      </c>
      <c r="K135" s="35">
        <f t="shared" si="64"/>
        <v>8000</v>
      </c>
      <c r="L135" s="35">
        <f t="shared" si="47"/>
        <v>98.76543209876543</v>
      </c>
      <c r="M135" s="35">
        <f t="shared" si="48"/>
        <v>100</v>
      </c>
    </row>
    <row r="136" spans="1:13" s="88" customFormat="1">
      <c r="A136" s="59" t="s">
        <v>56</v>
      </c>
      <c r="B136" s="28" t="s">
        <v>15</v>
      </c>
      <c r="C136" s="28" t="s">
        <v>110</v>
      </c>
      <c r="D136" s="28" t="s">
        <v>106</v>
      </c>
      <c r="E136" s="90" t="s">
        <v>1226</v>
      </c>
      <c r="F136" s="28">
        <v>520</v>
      </c>
      <c r="G136" s="35">
        <v>8100</v>
      </c>
      <c r="H136" s="35">
        <v>8100</v>
      </c>
      <c r="I136" s="35">
        <v>8000</v>
      </c>
      <c r="J136" s="35">
        <v>8000</v>
      </c>
      <c r="K136" s="35">
        <v>8000</v>
      </c>
      <c r="L136" s="35">
        <f t="shared" si="47"/>
        <v>98.76543209876543</v>
      </c>
      <c r="M136" s="35">
        <f t="shared" si="48"/>
        <v>100</v>
      </c>
    </row>
    <row r="137" spans="1:13" ht="25.5" hidden="1">
      <c r="A137" s="59" t="s">
        <v>107</v>
      </c>
      <c r="B137" s="28" t="s">
        <v>15</v>
      </c>
      <c r="C137" s="28" t="s">
        <v>110</v>
      </c>
      <c r="D137" s="28" t="s">
        <v>106</v>
      </c>
      <c r="E137" s="28" t="s">
        <v>116</v>
      </c>
      <c r="F137" s="58" t="s">
        <v>0</v>
      </c>
      <c r="G137" s="35">
        <f>G138</f>
        <v>0</v>
      </c>
      <c r="H137" s="35">
        <f t="shared" ref="H137:K138" si="65">H138</f>
        <v>0</v>
      </c>
      <c r="I137" s="35">
        <f t="shared" si="65"/>
        <v>0</v>
      </c>
      <c r="J137" s="35">
        <f t="shared" si="65"/>
        <v>0</v>
      </c>
      <c r="K137" s="35">
        <f t="shared" si="65"/>
        <v>0</v>
      </c>
      <c r="L137" s="35" t="e">
        <f t="shared" si="47"/>
        <v>#DIV/0!</v>
      </c>
      <c r="M137" s="35" t="e">
        <f t="shared" si="48"/>
        <v>#DIV/0!</v>
      </c>
    </row>
    <row r="138" spans="1:13" hidden="1">
      <c r="A138" s="59" t="s">
        <v>26</v>
      </c>
      <c r="B138" s="28" t="s">
        <v>15</v>
      </c>
      <c r="C138" s="28" t="s">
        <v>110</v>
      </c>
      <c r="D138" s="28" t="s">
        <v>106</v>
      </c>
      <c r="E138" s="28" t="s">
        <v>116</v>
      </c>
      <c r="F138" s="28" t="s">
        <v>27</v>
      </c>
      <c r="G138" s="35">
        <f>G139</f>
        <v>0</v>
      </c>
      <c r="H138" s="35">
        <f t="shared" si="65"/>
        <v>0</v>
      </c>
      <c r="I138" s="35">
        <f t="shared" si="65"/>
        <v>0</v>
      </c>
      <c r="J138" s="35">
        <f t="shared" si="65"/>
        <v>0</v>
      </c>
      <c r="K138" s="35">
        <f t="shared" si="65"/>
        <v>0</v>
      </c>
      <c r="L138" s="35" t="e">
        <f t="shared" si="47"/>
        <v>#DIV/0!</v>
      </c>
      <c r="M138" s="35" t="e">
        <f t="shared" si="48"/>
        <v>#DIV/0!</v>
      </c>
    </row>
    <row r="139" spans="1:13" hidden="1">
      <c r="A139" s="59" t="s">
        <v>56</v>
      </c>
      <c r="B139" s="28" t="s">
        <v>15</v>
      </c>
      <c r="C139" s="28" t="s">
        <v>110</v>
      </c>
      <c r="D139" s="28" t="s">
        <v>106</v>
      </c>
      <c r="E139" s="28" t="s">
        <v>116</v>
      </c>
      <c r="F139" s="28" t="s">
        <v>57</v>
      </c>
      <c r="G139" s="35"/>
      <c r="H139" s="35"/>
      <c r="I139" s="35"/>
      <c r="J139" s="35"/>
      <c r="K139" s="35"/>
      <c r="L139" s="35" t="e">
        <f t="shared" si="47"/>
        <v>#DIV/0!</v>
      </c>
      <c r="M139" s="35" t="e">
        <f t="shared" si="48"/>
        <v>#DIV/0!</v>
      </c>
    </row>
    <row r="140" spans="1:13" ht="25.5">
      <c r="A140" s="59" t="s">
        <v>47</v>
      </c>
      <c r="B140" s="28" t="s">
        <v>15</v>
      </c>
      <c r="C140" s="28" t="s">
        <v>110</v>
      </c>
      <c r="D140" s="28" t="s">
        <v>106</v>
      </c>
      <c r="E140" s="28" t="s">
        <v>48</v>
      </c>
      <c r="F140" s="58" t="s">
        <v>0</v>
      </c>
      <c r="G140" s="35">
        <f>G141</f>
        <v>12598</v>
      </c>
      <c r="H140" s="35">
        <f t="shared" ref="H140:K142" si="66">H141</f>
        <v>12598.021699999999</v>
      </c>
      <c r="I140" s="35">
        <f t="shared" si="66"/>
        <v>12598.021699999999</v>
      </c>
      <c r="J140" s="35">
        <f t="shared" si="66"/>
        <v>12598.021699999999</v>
      </c>
      <c r="K140" s="35">
        <f t="shared" si="66"/>
        <v>12598.021699999999</v>
      </c>
      <c r="L140" s="35">
        <f t="shared" si="47"/>
        <v>100</v>
      </c>
      <c r="M140" s="35">
        <f t="shared" si="48"/>
        <v>100</v>
      </c>
    </row>
    <row r="141" spans="1:13" ht="25.5">
      <c r="A141" s="59" t="s">
        <v>76</v>
      </c>
      <c r="B141" s="28" t="s">
        <v>15</v>
      </c>
      <c r="C141" s="28" t="s">
        <v>110</v>
      </c>
      <c r="D141" s="28" t="s">
        <v>106</v>
      </c>
      <c r="E141" s="28" t="s">
        <v>121</v>
      </c>
      <c r="F141" s="58" t="s">
        <v>0</v>
      </c>
      <c r="G141" s="35">
        <f>G142</f>
        <v>12598</v>
      </c>
      <c r="H141" s="35">
        <f t="shared" si="66"/>
        <v>12598.021699999999</v>
      </c>
      <c r="I141" s="35">
        <f t="shared" si="66"/>
        <v>12598.021699999999</v>
      </c>
      <c r="J141" s="35">
        <f t="shared" si="66"/>
        <v>12598.021699999999</v>
      </c>
      <c r="K141" s="35">
        <f t="shared" si="66"/>
        <v>12598.021699999999</v>
      </c>
      <c r="L141" s="35">
        <f t="shared" si="47"/>
        <v>100</v>
      </c>
      <c r="M141" s="35">
        <f t="shared" si="48"/>
        <v>100</v>
      </c>
    </row>
    <row r="142" spans="1:13" ht="25.5">
      <c r="A142" s="59" t="s">
        <v>64</v>
      </c>
      <c r="B142" s="28" t="s">
        <v>15</v>
      </c>
      <c r="C142" s="28" t="s">
        <v>110</v>
      </c>
      <c r="D142" s="28" t="s">
        <v>106</v>
      </c>
      <c r="E142" s="28" t="s">
        <v>121</v>
      </c>
      <c r="F142" s="28" t="s">
        <v>65</v>
      </c>
      <c r="G142" s="35">
        <f>G143</f>
        <v>12598</v>
      </c>
      <c r="H142" s="35">
        <f t="shared" si="66"/>
        <v>12598.021699999999</v>
      </c>
      <c r="I142" s="35">
        <f t="shared" si="66"/>
        <v>12598.021699999999</v>
      </c>
      <c r="J142" s="35">
        <f t="shared" si="66"/>
        <v>12598.021699999999</v>
      </c>
      <c r="K142" s="35">
        <f t="shared" si="66"/>
        <v>12598.021699999999</v>
      </c>
      <c r="L142" s="35">
        <f t="shared" si="47"/>
        <v>100</v>
      </c>
      <c r="M142" s="35">
        <f t="shared" si="48"/>
        <v>100</v>
      </c>
    </row>
    <row r="143" spans="1:13" ht="25.5">
      <c r="A143" s="59" t="s">
        <v>66</v>
      </c>
      <c r="B143" s="28" t="s">
        <v>15</v>
      </c>
      <c r="C143" s="28" t="s">
        <v>110</v>
      </c>
      <c r="D143" s="28" t="s">
        <v>106</v>
      </c>
      <c r="E143" s="28" t="s">
        <v>121</v>
      </c>
      <c r="F143" s="28" t="s">
        <v>67</v>
      </c>
      <c r="G143" s="35">
        <v>12598</v>
      </c>
      <c r="H143" s="35">
        <v>12598.021699999999</v>
      </c>
      <c r="I143" s="35">
        <v>12598.021699999999</v>
      </c>
      <c r="J143" s="35">
        <v>12598.021699999999</v>
      </c>
      <c r="K143" s="35">
        <v>12598.021699999999</v>
      </c>
      <c r="L143" s="35">
        <f t="shared" si="47"/>
        <v>100</v>
      </c>
      <c r="M143" s="35">
        <f t="shared" si="48"/>
        <v>100</v>
      </c>
    </row>
    <row r="144" spans="1:13" ht="38.25">
      <c r="A144" s="59" t="s">
        <v>122</v>
      </c>
      <c r="B144" s="28" t="s">
        <v>15</v>
      </c>
      <c r="C144" s="28" t="s">
        <v>110</v>
      </c>
      <c r="D144" s="28" t="s">
        <v>106</v>
      </c>
      <c r="E144" s="28" t="s">
        <v>123</v>
      </c>
      <c r="F144" s="58" t="s">
        <v>0</v>
      </c>
      <c r="G144" s="35">
        <f>G148+G151</f>
        <v>80402.14</v>
      </c>
      <c r="H144" s="35">
        <f>H148+H151+H145</f>
        <v>87112.067110000004</v>
      </c>
      <c r="I144" s="35">
        <f t="shared" ref="I144:K144" si="67">I148+I151+I145</f>
        <v>80483.199699999997</v>
      </c>
      <c r="J144" s="35">
        <f t="shared" si="67"/>
        <v>80483.199699999997</v>
      </c>
      <c r="K144" s="35">
        <f t="shared" si="67"/>
        <v>80483.199699999997</v>
      </c>
      <c r="L144" s="35">
        <f t="shared" si="47"/>
        <v>92.390414290560386</v>
      </c>
      <c r="M144" s="35">
        <f t="shared" si="48"/>
        <v>100</v>
      </c>
    </row>
    <row r="145" spans="1:13" ht="41.25" customHeight="1">
      <c r="A145" s="59" t="s">
        <v>1110</v>
      </c>
      <c r="B145" s="28" t="s">
        <v>15</v>
      </c>
      <c r="C145" s="28" t="s">
        <v>110</v>
      </c>
      <c r="D145" s="28" t="s">
        <v>106</v>
      </c>
      <c r="E145" s="28" t="s">
        <v>1111</v>
      </c>
      <c r="F145" s="58"/>
      <c r="G145" s="35">
        <f>G146</f>
        <v>0</v>
      </c>
      <c r="H145" s="35">
        <f>H146</f>
        <v>6710</v>
      </c>
      <c r="I145" s="35">
        <f t="shared" ref="I145:K146" si="68">I146</f>
        <v>6710</v>
      </c>
      <c r="J145" s="35">
        <f t="shared" si="68"/>
        <v>6710</v>
      </c>
      <c r="K145" s="35">
        <f t="shared" si="68"/>
        <v>6710</v>
      </c>
      <c r="L145" s="35">
        <f t="shared" si="47"/>
        <v>100</v>
      </c>
      <c r="M145" s="35">
        <f t="shared" si="48"/>
        <v>100</v>
      </c>
    </row>
    <row r="146" spans="1:13">
      <c r="A146" s="59" t="s">
        <v>26</v>
      </c>
      <c r="B146" s="28" t="s">
        <v>15</v>
      </c>
      <c r="C146" s="28" t="s">
        <v>110</v>
      </c>
      <c r="D146" s="28" t="s">
        <v>106</v>
      </c>
      <c r="E146" s="28" t="s">
        <v>1111</v>
      </c>
      <c r="F146" s="58">
        <v>500</v>
      </c>
      <c r="G146" s="35">
        <f>G147</f>
        <v>0</v>
      </c>
      <c r="H146" s="35">
        <f>H147</f>
        <v>6710</v>
      </c>
      <c r="I146" s="35">
        <f t="shared" si="68"/>
        <v>6710</v>
      </c>
      <c r="J146" s="35">
        <f t="shared" si="68"/>
        <v>6710</v>
      </c>
      <c r="K146" s="35">
        <f t="shared" si="68"/>
        <v>6710</v>
      </c>
      <c r="L146" s="35">
        <f t="shared" si="47"/>
        <v>100</v>
      </c>
      <c r="M146" s="35">
        <f t="shared" si="48"/>
        <v>100</v>
      </c>
    </row>
    <row r="147" spans="1:13">
      <c r="A147" s="59" t="s">
        <v>56</v>
      </c>
      <c r="B147" s="28" t="s">
        <v>15</v>
      </c>
      <c r="C147" s="28" t="s">
        <v>110</v>
      </c>
      <c r="D147" s="28" t="s">
        <v>106</v>
      </c>
      <c r="E147" s="28" t="s">
        <v>1111</v>
      </c>
      <c r="F147" s="58">
        <v>520</v>
      </c>
      <c r="G147" s="35"/>
      <c r="H147" s="35">
        <v>6710</v>
      </c>
      <c r="I147" s="35">
        <v>6710</v>
      </c>
      <c r="J147" s="35">
        <v>6710</v>
      </c>
      <c r="K147" s="35">
        <v>6710</v>
      </c>
      <c r="L147" s="35">
        <f t="shared" si="47"/>
        <v>100</v>
      </c>
      <c r="M147" s="35">
        <f t="shared" si="48"/>
        <v>100</v>
      </c>
    </row>
    <row r="148" spans="1:13" ht="25.5">
      <c r="A148" s="59" t="s">
        <v>107</v>
      </c>
      <c r="B148" s="28" t="s">
        <v>15</v>
      </c>
      <c r="C148" s="28" t="s">
        <v>110</v>
      </c>
      <c r="D148" s="28" t="s">
        <v>106</v>
      </c>
      <c r="E148" s="28" t="s">
        <v>124</v>
      </c>
      <c r="F148" s="58" t="s">
        <v>0</v>
      </c>
      <c r="G148" s="35">
        <f>G149</f>
        <v>10048.4</v>
      </c>
      <c r="H148" s="35">
        <f t="shared" ref="H148:K149" si="69">H149</f>
        <v>10048.3552</v>
      </c>
      <c r="I148" s="35">
        <f t="shared" si="69"/>
        <v>10048.3552</v>
      </c>
      <c r="J148" s="35">
        <f t="shared" si="69"/>
        <v>10048.3552</v>
      </c>
      <c r="K148" s="35">
        <f t="shared" si="69"/>
        <v>10048.3552</v>
      </c>
      <c r="L148" s="35">
        <f t="shared" si="47"/>
        <v>100</v>
      </c>
      <c r="M148" s="35">
        <f t="shared" si="48"/>
        <v>100</v>
      </c>
    </row>
    <row r="149" spans="1:13">
      <c r="A149" s="59" t="s">
        <v>26</v>
      </c>
      <c r="B149" s="28" t="s">
        <v>15</v>
      </c>
      <c r="C149" s="28" t="s">
        <v>110</v>
      </c>
      <c r="D149" s="28" t="s">
        <v>106</v>
      </c>
      <c r="E149" s="28" t="s">
        <v>124</v>
      </c>
      <c r="F149" s="28" t="s">
        <v>27</v>
      </c>
      <c r="G149" s="35">
        <f>G150</f>
        <v>10048.4</v>
      </c>
      <c r="H149" s="35">
        <f t="shared" si="69"/>
        <v>10048.3552</v>
      </c>
      <c r="I149" s="35">
        <f t="shared" si="69"/>
        <v>10048.3552</v>
      </c>
      <c r="J149" s="35">
        <f t="shared" si="69"/>
        <v>10048.3552</v>
      </c>
      <c r="K149" s="35">
        <f t="shared" si="69"/>
        <v>10048.3552</v>
      </c>
      <c r="L149" s="35">
        <f t="shared" si="47"/>
        <v>100</v>
      </c>
      <c r="M149" s="35">
        <f t="shared" si="48"/>
        <v>100</v>
      </c>
    </row>
    <row r="150" spans="1:13">
      <c r="A150" s="59" t="s">
        <v>56</v>
      </c>
      <c r="B150" s="28" t="s">
        <v>15</v>
      </c>
      <c r="C150" s="28" t="s">
        <v>110</v>
      </c>
      <c r="D150" s="28" t="s">
        <v>106</v>
      </c>
      <c r="E150" s="28" t="s">
        <v>124</v>
      </c>
      <c r="F150" s="28" t="s">
        <v>57</v>
      </c>
      <c r="G150" s="35">
        <v>10048.4</v>
      </c>
      <c r="H150" s="35">
        <v>10048.3552</v>
      </c>
      <c r="I150" s="35">
        <v>10048.3552</v>
      </c>
      <c r="J150" s="35">
        <v>10048.3552</v>
      </c>
      <c r="K150" s="35">
        <v>10048.3552</v>
      </c>
      <c r="L150" s="35">
        <f t="shared" si="47"/>
        <v>100</v>
      </c>
      <c r="M150" s="35">
        <f t="shared" si="48"/>
        <v>100</v>
      </c>
    </row>
    <row r="151" spans="1:13" ht="51">
      <c r="A151" s="59" t="s">
        <v>125</v>
      </c>
      <c r="B151" s="28" t="s">
        <v>15</v>
      </c>
      <c r="C151" s="28" t="s">
        <v>110</v>
      </c>
      <c r="D151" s="28" t="s">
        <v>106</v>
      </c>
      <c r="E151" s="28" t="s">
        <v>126</v>
      </c>
      <c r="F151" s="58" t="s">
        <v>0</v>
      </c>
      <c r="G151" s="35">
        <f>G152</f>
        <v>70353.740000000005</v>
      </c>
      <c r="H151" s="35">
        <f t="shared" ref="H151:K152" si="70">H152</f>
        <v>70353.711909999998</v>
      </c>
      <c r="I151" s="35">
        <f t="shared" si="70"/>
        <v>63724.844499999999</v>
      </c>
      <c r="J151" s="35">
        <f t="shared" si="70"/>
        <v>63724.844499999999</v>
      </c>
      <c r="K151" s="35">
        <f t="shared" si="70"/>
        <v>63724.844499999999</v>
      </c>
      <c r="L151" s="35">
        <f t="shared" si="47"/>
        <v>90.577800047735963</v>
      </c>
      <c r="M151" s="35">
        <f t="shared" si="48"/>
        <v>100</v>
      </c>
    </row>
    <row r="152" spans="1:13">
      <c r="A152" s="59" t="s">
        <v>26</v>
      </c>
      <c r="B152" s="28" t="s">
        <v>15</v>
      </c>
      <c r="C152" s="28" t="s">
        <v>110</v>
      </c>
      <c r="D152" s="28" t="s">
        <v>106</v>
      </c>
      <c r="E152" s="28" t="s">
        <v>126</v>
      </c>
      <c r="F152" s="28" t="s">
        <v>27</v>
      </c>
      <c r="G152" s="35">
        <f>G153</f>
        <v>70353.740000000005</v>
      </c>
      <c r="H152" s="35">
        <f t="shared" si="70"/>
        <v>70353.711909999998</v>
      </c>
      <c r="I152" s="35">
        <f t="shared" si="70"/>
        <v>63724.844499999999</v>
      </c>
      <c r="J152" s="35">
        <f t="shared" si="70"/>
        <v>63724.844499999999</v>
      </c>
      <c r="K152" s="35">
        <f t="shared" si="70"/>
        <v>63724.844499999999</v>
      </c>
      <c r="L152" s="35">
        <f t="shared" si="47"/>
        <v>90.577800047735963</v>
      </c>
      <c r="M152" s="35">
        <f t="shared" si="48"/>
        <v>100</v>
      </c>
    </row>
    <row r="153" spans="1:13">
      <c r="A153" s="59" t="s">
        <v>56</v>
      </c>
      <c r="B153" s="28" t="s">
        <v>15</v>
      </c>
      <c r="C153" s="28" t="s">
        <v>110</v>
      </c>
      <c r="D153" s="28" t="s">
        <v>106</v>
      </c>
      <c r="E153" s="28" t="s">
        <v>126</v>
      </c>
      <c r="F153" s="28" t="s">
        <v>57</v>
      </c>
      <c r="G153" s="35">
        <v>70353.740000000005</v>
      </c>
      <c r="H153" s="35">
        <v>70353.711909999998</v>
      </c>
      <c r="I153" s="35">
        <v>63724.844499999999</v>
      </c>
      <c r="J153" s="35">
        <v>63724.844499999999</v>
      </c>
      <c r="K153" s="35">
        <v>63724.844499999999</v>
      </c>
      <c r="L153" s="35">
        <f t="shared" si="47"/>
        <v>90.577800047735963</v>
      </c>
      <c r="M153" s="35">
        <f t="shared" si="48"/>
        <v>100</v>
      </c>
    </row>
    <row r="154" spans="1:13">
      <c r="A154" s="59" t="s">
        <v>127</v>
      </c>
      <c r="B154" s="28" t="s">
        <v>15</v>
      </c>
      <c r="C154" s="28" t="s">
        <v>110</v>
      </c>
      <c r="D154" s="28" t="s">
        <v>19</v>
      </c>
      <c r="E154" s="58" t="s">
        <v>0</v>
      </c>
      <c r="F154" s="58" t="s">
        <v>0</v>
      </c>
      <c r="G154" s="35">
        <f>G155</f>
        <v>372.1</v>
      </c>
      <c r="H154" s="35">
        <f t="shared" ref="H154:K161" si="71">H155</f>
        <v>372.07315</v>
      </c>
      <c r="I154" s="35">
        <f t="shared" si="71"/>
        <v>334.82893999999999</v>
      </c>
      <c r="J154" s="35">
        <f t="shared" si="71"/>
        <v>334.82893999999999</v>
      </c>
      <c r="K154" s="35">
        <f t="shared" si="71"/>
        <v>334.82893999999999</v>
      </c>
      <c r="L154" s="35">
        <f t="shared" si="47"/>
        <v>89.990083939139382</v>
      </c>
      <c r="M154" s="35">
        <f t="shared" si="48"/>
        <v>100</v>
      </c>
    </row>
    <row r="155" spans="1:13" ht="38.25">
      <c r="A155" s="59" t="s">
        <v>112</v>
      </c>
      <c r="B155" s="28" t="s">
        <v>15</v>
      </c>
      <c r="C155" s="28" t="s">
        <v>110</v>
      </c>
      <c r="D155" s="28" t="s">
        <v>19</v>
      </c>
      <c r="E155" s="28" t="s">
        <v>113</v>
      </c>
      <c r="F155" s="58" t="s">
        <v>0</v>
      </c>
      <c r="G155" s="35">
        <f>G156</f>
        <v>372.1</v>
      </c>
      <c r="H155" s="35">
        <f t="shared" si="71"/>
        <v>372.07315</v>
      </c>
      <c r="I155" s="35">
        <f t="shared" si="71"/>
        <v>334.82893999999999</v>
      </c>
      <c r="J155" s="35">
        <f t="shared" si="71"/>
        <v>334.82893999999999</v>
      </c>
      <c r="K155" s="35">
        <f t="shared" si="71"/>
        <v>334.82893999999999</v>
      </c>
      <c r="L155" s="35">
        <f t="shared" si="47"/>
        <v>89.990083939139382</v>
      </c>
      <c r="M155" s="35">
        <f t="shared" si="48"/>
        <v>100</v>
      </c>
    </row>
    <row r="156" spans="1:13" ht="38.25">
      <c r="A156" s="59" t="s">
        <v>114</v>
      </c>
      <c r="B156" s="28" t="s">
        <v>15</v>
      </c>
      <c r="C156" s="28" t="s">
        <v>110</v>
      </c>
      <c r="D156" s="28" t="s">
        <v>19</v>
      </c>
      <c r="E156" s="28" t="s">
        <v>115</v>
      </c>
      <c r="F156" s="58" t="s">
        <v>0</v>
      </c>
      <c r="G156" s="35">
        <f>G160+G157</f>
        <v>372.1</v>
      </c>
      <c r="H156" s="35">
        <f t="shared" ref="H156:K156" si="72">H160+H157</f>
        <v>372.07315</v>
      </c>
      <c r="I156" s="35">
        <f t="shared" si="72"/>
        <v>334.82893999999999</v>
      </c>
      <c r="J156" s="35">
        <f t="shared" si="72"/>
        <v>334.82893999999999</v>
      </c>
      <c r="K156" s="35">
        <f t="shared" si="72"/>
        <v>334.82893999999999</v>
      </c>
      <c r="L156" s="35">
        <f t="shared" si="47"/>
        <v>89.990083939139382</v>
      </c>
      <c r="M156" s="35">
        <f t="shared" si="48"/>
        <v>100</v>
      </c>
    </row>
    <row r="157" spans="1:13" s="88" customFormat="1" ht="25.5">
      <c r="A157" s="59" t="s">
        <v>76</v>
      </c>
      <c r="B157" s="28" t="s">
        <v>15</v>
      </c>
      <c r="C157" s="28" t="s">
        <v>110</v>
      </c>
      <c r="D157" s="28" t="s">
        <v>19</v>
      </c>
      <c r="E157" s="29" t="s">
        <v>120</v>
      </c>
      <c r="F157" s="58"/>
      <c r="G157" s="35">
        <f>G158</f>
        <v>31</v>
      </c>
      <c r="H157" s="35">
        <f t="shared" ref="H157:K158" si="73">H158</f>
        <v>30.994209999999999</v>
      </c>
      <c r="I157" s="35">
        <f t="shared" si="73"/>
        <v>0</v>
      </c>
      <c r="J157" s="35">
        <f t="shared" si="73"/>
        <v>0</v>
      </c>
      <c r="K157" s="35">
        <f t="shared" si="73"/>
        <v>0</v>
      </c>
      <c r="L157" s="35">
        <f t="shared" si="47"/>
        <v>0</v>
      </c>
      <c r="M157" s="35">
        <v>0</v>
      </c>
    </row>
    <row r="158" spans="1:13" s="88" customFormat="1" ht="25.5">
      <c r="A158" s="59" t="s">
        <v>64</v>
      </c>
      <c r="B158" s="28" t="s">
        <v>15</v>
      </c>
      <c r="C158" s="28" t="s">
        <v>110</v>
      </c>
      <c r="D158" s="28" t="s">
        <v>19</v>
      </c>
      <c r="E158" s="29" t="s">
        <v>120</v>
      </c>
      <c r="F158" s="28">
        <v>200</v>
      </c>
      <c r="G158" s="35">
        <f>G159</f>
        <v>31</v>
      </c>
      <c r="H158" s="35">
        <f t="shared" si="73"/>
        <v>30.994209999999999</v>
      </c>
      <c r="I158" s="35">
        <f t="shared" si="73"/>
        <v>0</v>
      </c>
      <c r="J158" s="35">
        <f t="shared" si="73"/>
        <v>0</v>
      </c>
      <c r="K158" s="35">
        <f t="shared" si="73"/>
        <v>0</v>
      </c>
      <c r="L158" s="35">
        <f t="shared" si="47"/>
        <v>0</v>
      </c>
      <c r="M158" s="35">
        <v>0</v>
      </c>
    </row>
    <row r="159" spans="1:13" s="88" customFormat="1" ht="25.5">
      <c r="A159" s="59" t="s">
        <v>66</v>
      </c>
      <c r="B159" s="28" t="s">
        <v>15</v>
      </c>
      <c r="C159" s="28" t="s">
        <v>110</v>
      </c>
      <c r="D159" s="28" t="s">
        <v>19</v>
      </c>
      <c r="E159" s="29" t="s">
        <v>120</v>
      </c>
      <c r="F159" s="28">
        <v>240</v>
      </c>
      <c r="G159" s="35">
        <v>31</v>
      </c>
      <c r="H159" s="35">
        <v>30.994209999999999</v>
      </c>
      <c r="I159" s="35">
        <v>0</v>
      </c>
      <c r="J159" s="35">
        <v>0</v>
      </c>
      <c r="K159" s="35">
        <v>0</v>
      </c>
      <c r="L159" s="35">
        <f t="shared" si="47"/>
        <v>0</v>
      </c>
      <c r="M159" s="35">
        <v>0</v>
      </c>
    </row>
    <row r="160" spans="1:13" ht="38.25">
      <c r="A160" s="59" t="s">
        <v>37</v>
      </c>
      <c r="B160" s="28" t="s">
        <v>15</v>
      </c>
      <c r="C160" s="28" t="s">
        <v>110</v>
      </c>
      <c r="D160" s="28" t="s">
        <v>19</v>
      </c>
      <c r="E160" s="28" t="s">
        <v>128</v>
      </c>
      <c r="F160" s="58" t="s">
        <v>0</v>
      </c>
      <c r="G160" s="35">
        <f>G161</f>
        <v>341.1</v>
      </c>
      <c r="H160" s="35">
        <f t="shared" si="71"/>
        <v>341.07893999999999</v>
      </c>
      <c r="I160" s="35">
        <f t="shared" si="71"/>
        <v>334.82893999999999</v>
      </c>
      <c r="J160" s="35">
        <f t="shared" si="71"/>
        <v>334.82893999999999</v>
      </c>
      <c r="K160" s="35">
        <f t="shared" si="71"/>
        <v>334.82893999999999</v>
      </c>
      <c r="L160" s="35">
        <f t="shared" si="47"/>
        <v>98.167579622476836</v>
      </c>
      <c r="M160" s="35">
        <f t="shared" si="48"/>
        <v>100</v>
      </c>
    </row>
    <row r="161" spans="1:13" ht="25.5">
      <c r="A161" s="59" t="s">
        <v>39</v>
      </c>
      <c r="B161" s="28" t="s">
        <v>15</v>
      </c>
      <c r="C161" s="28" t="s">
        <v>110</v>
      </c>
      <c r="D161" s="28" t="s">
        <v>19</v>
      </c>
      <c r="E161" s="28" t="s">
        <v>128</v>
      </c>
      <c r="F161" s="28" t="s">
        <v>40</v>
      </c>
      <c r="G161" s="35">
        <f>G162</f>
        <v>341.1</v>
      </c>
      <c r="H161" s="35">
        <f t="shared" si="71"/>
        <v>341.07893999999999</v>
      </c>
      <c r="I161" s="35">
        <f t="shared" si="71"/>
        <v>334.82893999999999</v>
      </c>
      <c r="J161" s="35">
        <f t="shared" si="71"/>
        <v>334.82893999999999</v>
      </c>
      <c r="K161" s="35">
        <f t="shared" si="71"/>
        <v>334.82893999999999</v>
      </c>
      <c r="L161" s="35">
        <f t="shared" si="47"/>
        <v>98.167579622476836</v>
      </c>
      <c r="M161" s="35">
        <f t="shared" si="48"/>
        <v>100</v>
      </c>
    </row>
    <row r="162" spans="1:13">
      <c r="A162" s="59" t="s">
        <v>41</v>
      </c>
      <c r="B162" s="28" t="s">
        <v>15</v>
      </c>
      <c r="C162" s="28" t="s">
        <v>110</v>
      </c>
      <c r="D162" s="28" t="s">
        <v>19</v>
      </c>
      <c r="E162" s="28" t="s">
        <v>128</v>
      </c>
      <c r="F162" s="28" t="s">
        <v>42</v>
      </c>
      <c r="G162" s="35">
        <v>341.1</v>
      </c>
      <c r="H162" s="35">
        <v>341.07893999999999</v>
      </c>
      <c r="I162" s="35">
        <v>334.82893999999999</v>
      </c>
      <c r="J162" s="35">
        <v>334.82893999999999</v>
      </c>
      <c r="K162" s="35">
        <v>334.82893999999999</v>
      </c>
      <c r="L162" s="35">
        <f t="shared" si="47"/>
        <v>98.167579622476836</v>
      </c>
      <c r="M162" s="35">
        <f t="shared" si="48"/>
        <v>100</v>
      </c>
    </row>
    <row r="163" spans="1:13">
      <c r="A163" s="60" t="s">
        <v>0</v>
      </c>
      <c r="B163" s="58" t="s">
        <v>0</v>
      </c>
      <c r="C163" s="58" t="s">
        <v>0</v>
      </c>
      <c r="D163" s="58" t="s">
        <v>0</v>
      </c>
      <c r="E163" s="58" t="s">
        <v>0</v>
      </c>
      <c r="F163" s="58" t="s">
        <v>0</v>
      </c>
      <c r="G163" s="61" t="s">
        <v>0</v>
      </c>
      <c r="H163" s="61" t="s">
        <v>0</v>
      </c>
      <c r="I163" s="61" t="s">
        <v>0</v>
      </c>
      <c r="J163" s="61" t="s">
        <v>0</v>
      </c>
      <c r="K163" s="61" t="s">
        <v>0</v>
      </c>
      <c r="L163" s="35"/>
      <c r="M163" s="35"/>
    </row>
    <row r="164" spans="1:13">
      <c r="A164" s="59" t="s">
        <v>129</v>
      </c>
      <c r="B164" s="28" t="s">
        <v>15</v>
      </c>
      <c r="C164" s="28" t="s">
        <v>130</v>
      </c>
      <c r="D164" s="58" t="s">
        <v>0</v>
      </c>
      <c r="E164" s="58" t="s">
        <v>0</v>
      </c>
      <c r="F164" s="58" t="s">
        <v>0</v>
      </c>
      <c r="G164" s="35">
        <f>G165</f>
        <v>93092.4</v>
      </c>
      <c r="H164" s="35">
        <f t="shared" ref="H164:K164" si="74">H165</f>
        <v>173836.63167999999</v>
      </c>
      <c r="I164" s="35">
        <f t="shared" si="74"/>
        <v>112636.03853000001</v>
      </c>
      <c r="J164" s="35">
        <f t="shared" si="74"/>
        <v>107951.08335</v>
      </c>
      <c r="K164" s="35">
        <f t="shared" si="74"/>
        <v>107951.08335</v>
      </c>
      <c r="L164" s="35">
        <f t="shared" ref="L164:L226" si="75">K164/H164*100</f>
        <v>62.099157298858223</v>
      </c>
      <c r="M164" s="35">
        <f t="shared" ref="M164:M226" si="76">K164/I164*100</f>
        <v>95.840625042266396</v>
      </c>
    </row>
    <row r="165" spans="1:13">
      <c r="A165" s="59" t="s">
        <v>131</v>
      </c>
      <c r="B165" s="28" t="s">
        <v>15</v>
      </c>
      <c r="C165" s="28" t="s">
        <v>130</v>
      </c>
      <c r="D165" s="28" t="s">
        <v>17</v>
      </c>
      <c r="E165" s="58" t="s">
        <v>0</v>
      </c>
      <c r="F165" s="58" t="s">
        <v>0</v>
      </c>
      <c r="G165" s="35">
        <f>G166</f>
        <v>93092.4</v>
      </c>
      <c r="H165" s="35">
        <f>H166+H180</f>
        <v>173836.63167999999</v>
      </c>
      <c r="I165" s="35">
        <f t="shared" ref="I165:K165" si="77">I166+I180</f>
        <v>112636.03853000001</v>
      </c>
      <c r="J165" s="35">
        <f t="shared" si="77"/>
        <v>107951.08335</v>
      </c>
      <c r="K165" s="35">
        <f t="shared" si="77"/>
        <v>107951.08335</v>
      </c>
      <c r="L165" s="35">
        <f t="shared" si="75"/>
        <v>62.099157298858223</v>
      </c>
      <c r="M165" s="35">
        <f t="shared" si="76"/>
        <v>95.840625042266396</v>
      </c>
    </row>
    <row r="166" spans="1:13" ht="25.5">
      <c r="A166" s="59" t="s">
        <v>47</v>
      </c>
      <c r="B166" s="28" t="s">
        <v>15</v>
      </c>
      <c r="C166" s="28" t="s">
        <v>130</v>
      </c>
      <c r="D166" s="28" t="s">
        <v>17</v>
      </c>
      <c r="E166" s="28" t="s">
        <v>48</v>
      </c>
      <c r="F166" s="58" t="s">
        <v>0</v>
      </c>
      <c r="G166" s="35">
        <f>G172+G175</f>
        <v>93092.4</v>
      </c>
      <c r="H166" s="35">
        <f>H172+H175+H167</f>
        <v>163045.764</v>
      </c>
      <c r="I166" s="35">
        <f t="shared" ref="I166:K166" si="78">I172+I175+I167</f>
        <v>105183.36285</v>
      </c>
      <c r="J166" s="35">
        <f t="shared" si="78"/>
        <v>105183.36285</v>
      </c>
      <c r="K166" s="35">
        <f t="shared" si="78"/>
        <v>105183.36285</v>
      </c>
      <c r="L166" s="35">
        <f t="shared" si="75"/>
        <v>64.511558147564017</v>
      </c>
      <c r="M166" s="35">
        <f t="shared" si="76"/>
        <v>100</v>
      </c>
    </row>
    <row r="167" spans="1:13" ht="29.25" customHeight="1">
      <c r="A167" s="59" t="s">
        <v>354</v>
      </c>
      <c r="B167" s="28" t="s">
        <v>15</v>
      </c>
      <c r="C167" s="28" t="s">
        <v>130</v>
      </c>
      <c r="D167" s="28" t="s">
        <v>17</v>
      </c>
      <c r="E167" s="28" t="s">
        <v>355</v>
      </c>
      <c r="F167" s="58"/>
      <c r="G167" s="35">
        <f>G168+G170</f>
        <v>0</v>
      </c>
      <c r="H167" s="35">
        <f t="shared" ref="H167:K167" si="79">H168+H170</f>
        <v>69953.399999999994</v>
      </c>
      <c r="I167" s="35">
        <f t="shared" si="79"/>
        <v>20055.099999999999</v>
      </c>
      <c r="J167" s="35">
        <f t="shared" si="79"/>
        <v>20055.099999999999</v>
      </c>
      <c r="K167" s="35">
        <f t="shared" si="79"/>
        <v>20055.099999999999</v>
      </c>
      <c r="L167" s="35">
        <f t="shared" si="75"/>
        <v>28.669228372030524</v>
      </c>
      <c r="M167" s="35">
        <f t="shared" si="76"/>
        <v>100</v>
      </c>
    </row>
    <row r="168" spans="1:13" ht="25.5">
      <c r="A168" s="59" t="s">
        <v>39</v>
      </c>
      <c r="B168" s="28" t="s">
        <v>15</v>
      </c>
      <c r="C168" s="28" t="s">
        <v>130</v>
      </c>
      <c r="D168" s="28" t="s">
        <v>17</v>
      </c>
      <c r="E168" s="28" t="s">
        <v>355</v>
      </c>
      <c r="F168" s="28" t="s">
        <v>40</v>
      </c>
      <c r="G168" s="35">
        <f>G169</f>
        <v>0</v>
      </c>
      <c r="H168" s="35">
        <f t="shared" ref="H168:K168" si="80">H169</f>
        <v>20055.099999999999</v>
      </c>
      <c r="I168" s="35">
        <f t="shared" si="80"/>
        <v>20055.099999999999</v>
      </c>
      <c r="J168" s="35">
        <f t="shared" si="80"/>
        <v>20055.099999999999</v>
      </c>
      <c r="K168" s="35">
        <f t="shared" si="80"/>
        <v>20055.099999999999</v>
      </c>
      <c r="L168" s="35">
        <f t="shared" si="75"/>
        <v>100</v>
      </c>
      <c r="M168" s="35">
        <f t="shared" si="76"/>
        <v>100</v>
      </c>
    </row>
    <row r="169" spans="1:13">
      <c r="A169" s="59" t="s">
        <v>41</v>
      </c>
      <c r="B169" s="28" t="s">
        <v>15</v>
      </c>
      <c r="C169" s="28" t="s">
        <v>130</v>
      </c>
      <c r="D169" s="28" t="s">
        <v>17</v>
      </c>
      <c r="E169" s="28" t="s">
        <v>355</v>
      </c>
      <c r="F169" s="28" t="s">
        <v>42</v>
      </c>
      <c r="G169" s="35"/>
      <c r="H169" s="35">
        <v>20055.099999999999</v>
      </c>
      <c r="I169" s="35">
        <v>20055.099999999999</v>
      </c>
      <c r="J169" s="35">
        <v>20055.099999999999</v>
      </c>
      <c r="K169" s="35">
        <v>20055.099999999999</v>
      </c>
      <c r="L169" s="35">
        <f t="shared" si="75"/>
        <v>100</v>
      </c>
      <c r="M169" s="35">
        <f t="shared" si="76"/>
        <v>100</v>
      </c>
    </row>
    <row r="170" spans="1:13">
      <c r="A170" s="59" t="s">
        <v>26</v>
      </c>
      <c r="B170" s="28" t="s">
        <v>15</v>
      </c>
      <c r="C170" s="28" t="s">
        <v>130</v>
      </c>
      <c r="D170" s="28" t="s">
        <v>17</v>
      </c>
      <c r="E170" s="28" t="s">
        <v>355</v>
      </c>
      <c r="F170" s="28">
        <v>500</v>
      </c>
      <c r="G170" s="35">
        <f>G171</f>
        <v>0</v>
      </c>
      <c r="H170" s="35">
        <f t="shared" ref="H170:K170" si="81">H171</f>
        <v>49898.3</v>
      </c>
      <c r="I170" s="35">
        <f t="shared" si="81"/>
        <v>0</v>
      </c>
      <c r="J170" s="35">
        <f t="shared" si="81"/>
        <v>0</v>
      </c>
      <c r="K170" s="35">
        <f t="shared" si="81"/>
        <v>0</v>
      </c>
      <c r="L170" s="35">
        <f t="shared" si="75"/>
        <v>0</v>
      </c>
      <c r="M170" s="35">
        <v>0</v>
      </c>
    </row>
    <row r="171" spans="1:13">
      <c r="A171" s="59" t="s">
        <v>56</v>
      </c>
      <c r="B171" s="28" t="s">
        <v>15</v>
      </c>
      <c r="C171" s="28" t="s">
        <v>130</v>
      </c>
      <c r="D171" s="28" t="s">
        <v>17</v>
      </c>
      <c r="E171" s="28" t="s">
        <v>355</v>
      </c>
      <c r="F171" s="58">
        <v>520</v>
      </c>
      <c r="G171" s="35"/>
      <c r="H171" s="35">
        <v>49898.3</v>
      </c>
      <c r="I171" s="35">
        <v>0</v>
      </c>
      <c r="J171" s="35">
        <v>0</v>
      </c>
      <c r="K171" s="35">
        <v>0</v>
      </c>
      <c r="L171" s="35">
        <f t="shared" si="75"/>
        <v>0</v>
      </c>
      <c r="M171" s="35">
        <v>0</v>
      </c>
    </row>
    <row r="172" spans="1:13" ht="25.5">
      <c r="A172" s="59" t="s">
        <v>76</v>
      </c>
      <c r="B172" s="28" t="s">
        <v>15</v>
      </c>
      <c r="C172" s="28" t="s">
        <v>130</v>
      </c>
      <c r="D172" s="28" t="s">
        <v>17</v>
      </c>
      <c r="E172" s="28" t="s">
        <v>121</v>
      </c>
      <c r="F172" s="58" t="s">
        <v>0</v>
      </c>
      <c r="G172" s="35">
        <f>G173</f>
        <v>8392.4</v>
      </c>
      <c r="H172" s="35">
        <f t="shared" ref="H172:K173" si="82">H173</f>
        <v>8392.3639999999996</v>
      </c>
      <c r="I172" s="35">
        <f t="shared" si="82"/>
        <v>4034.5660699999999</v>
      </c>
      <c r="J172" s="35">
        <f t="shared" si="82"/>
        <v>4034.5660699999999</v>
      </c>
      <c r="K172" s="35">
        <f t="shared" si="82"/>
        <v>4034.5660699999999</v>
      </c>
      <c r="L172" s="35">
        <f t="shared" si="75"/>
        <v>48.074250235094667</v>
      </c>
      <c r="M172" s="35">
        <f t="shared" si="76"/>
        <v>100</v>
      </c>
    </row>
    <row r="173" spans="1:13" ht="25.5">
      <c r="A173" s="59" t="s">
        <v>64</v>
      </c>
      <c r="B173" s="28" t="s">
        <v>15</v>
      </c>
      <c r="C173" s="28" t="s">
        <v>130</v>
      </c>
      <c r="D173" s="28" t="s">
        <v>17</v>
      </c>
      <c r="E173" s="28" t="s">
        <v>121</v>
      </c>
      <c r="F173" s="28" t="s">
        <v>65</v>
      </c>
      <c r="G173" s="35">
        <f>G174</f>
        <v>8392.4</v>
      </c>
      <c r="H173" s="35">
        <f t="shared" si="82"/>
        <v>8392.3639999999996</v>
      </c>
      <c r="I173" s="35">
        <f t="shared" si="82"/>
        <v>4034.5660699999999</v>
      </c>
      <c r="J173" s="35">
        <f t="shared" si="82"/>
        <v>4034.5660699999999</v>
      </c>
      <c r="K173" s="35">
        <f t="shared" si="82"/>
        <v>4034.5660699999999</v>
      </c>
      <c r="L173" s="35">
        <f t="shared" si="75"/>
        <v>48.074250235094667</v>
      </c>
      <c r="M173" s="35">
        <f t="shared" si="76"/>
        <v>100</v>
      </c>
    </row>
    <row r="174" spans="1:13" ht="25.5">
      <c r="A174" s="59" t="s">
        <v>66</v>
      </c>
      <c r="B174" s="28" t="s">
        <v>15</v>
      </c>
      <c r="C174" s="28" t="s">
        <v>130</v>
      </c>
      <c r="D174" s="28" t="s">
        <v>17</v>
      </c>
      <c r="E174" s="28" t="s">
        <v>121</v>
      </c>
      <c r="F174" s="28" t="s">
        <v>67</v>
      </c>
      <c r="G174" s="35">
        <v>8392.4</v>
      </c>
      <c r="H174" s="35">
        <v>8392.3639999999996</v>
      </c>
      <c r="I174" s="35">
        <v>4034.5660699999999</v>
      </c>
      <c r="J174" s="35">
        <v>4034.5660699999999</v>
      </c>
      <c r="K174" s="35">
        <v>4034.5660699999999</v>
      </c>
      <c r="L174" s="35">
        <f t="shared" si="75"/>
        <v>48.074250235094667</v>
      </c>
      <c r="M174" s="35">
        <f t="shared" si="76"/>
        <v>100</v>
      </c>
    </row>
    <row r="175" spans="1:13" ht="38.25">
      <c r="A175" s="59" t="s">
        <v>132</v>
      </c>
      <c r="B175" s="28" t="s">
        <v>15</v>
      </c>
      <c r="C175" s="28" t="s">
        <v>130</v>
      </c>
      <c r="D175" s="28" t="s">
        <v>17</v>
      </c>
      <c r="E175" s="28" t="s">
        <v>133</v>
      </c>
      <c r="F175" s="58" t="s">
        <v>0</v>
      </c>
      <c r="G175" s="35">
        <f>G176+G178</f>
        <v>84700</v>
      </c>
      <c r="H175" s="35">
        <f t="shared" ref="H175:K175" si="83">H176+H178</f>
        <v>84700</v>
      </c>
      <c r="I175" s="35">
        <f t="shared" si="83"/>
        <v>81093.696779999998</v>
      </c>
      <c r="J175" s="35">
        <f t="shared" si="83"/>
        <v>81093.696779999998</v>
      </c>
      <c r="K175" s="35">
        <f t="shared" si="83"/>
        <v>81093.696779999998</v>
      </c>
      <c r="L175" s="35">
        <f t="shared" si="75"/>
        <v>95.742263022432113</v>
      </c>
      <c r="M175" s="35">
        <f t="shared" si="76"/>
        <v>100</v>
      </c>
    </row>
    <row r="176" spans="1:13" ht="25.5">
      <c r="A176" s="59" t="s">
        <v>39</v>
      </c>
      <c r="B176" s="28" t="s">
        <v>15</v>
      </c>
      <c r="C176" s="28" t="s">
        <v>130</v>
      </c>
      <c r="D176" s="28" t="s">
        <v>17</v>
      </c>
      <c r="E176" s="28" t="s">
        <v>133</v>
      </c>
      <c r="F176" s="28" t="s">
        <v>40</v>
      </c>
      <c r="G176" s="35">
        <f>G177</f>
        <v>84700</v>
      </c>
      <c r="H176" s="35">
        <f t="shared" ref="H176:K176" si="84">H177</f>
        <v>84700</v>
      </c>
      <c r="I176" s="35">
        <f t="shared" si="84"/>
        <v>81093.696779999998</v>
      </c>
      <c r="J176" s="35">
        <f t="shared" si="84"/>
        <v>81093.696779999998</v>
      </c>
      <c r="K176" s="35">
        <f t="shared" si="84"/>
        <v>81093.696779999998</v>
      </c>
      <c r="L176" s="35">
        <f t="shared" si="75"/>
        <v>95.742263022432113</v>
      </c>
      <c r="M176" s="35">
        <f t="shared" si="76"/>
        <v>100</v>
      </c>
    </row>
    <row r="177" spans="1:13">
      <c r="A177" s="59" t="s">
        <v>41</v>
      </c>
      <c r="B177" s="28" t="s">
        <v>15</v>
      </c>
      <c r="C177" s="28" t="s">
        <v>130</v>
      </c>
      <c r="D177" s="28" t="s">
        <v>17</v>
      </c>
      <c r="E177" s="28" t="s">
        <v>133</v>
      </c>
      <c r="F177" s="28" t="s">
        <v>42</v>
      </c>
      <c r="G177" s="35">
        <v>84700</v>
      </c>
      <c r="H177" s="35">
        <v>84700</v>
      </c>
      <c r="I177" s="35">
        <v>81093.696779999998</v>
      </c>
      <c r="J177" s="35">
        <v>81093.696779999998</v>
      </c>
      <c r="K177" s="35">
        <v>81093.696779999998</v>
      </c>
      <c r="L177" s="35">
        <f t="shared" si="75"/>
        <v>95.742263022432113</v>
      </c>
      <c r="M177" s="35">
        <f t="shared" si="76"/>
        <v>100</v>
      </c>
    </row>
    <row r="178" spans="1:13" hidden="1">
      <c r="A178" s="59" t="s">
        <v>26</v>
      </c>
      <c r="B178" s="28" t="s">
        <v>15</v>
      </c>
      <c r="C178" s="28" t="s">
        <v>130</v>
      </c>
      <c r="D178" s="28" t="s">
        <v>17</v>
      </c>
      <c r="E178" s="28" t="s">
        <v>133</v>
      </c>
      <c r="F178" s="28" t="s">
        <v>27</v>
      </c>
      <c r="G178" s="35">
        <f>G179</f>
        <v>0</v>
      </c>
      <c r="H178" s="35">
        <f t="shared" ref="H178:K178" si="85">H179</f>
        <v>0</v>
      </c>
      <c r="I178" s="35">
        <f t="shared" si="85"/>
        <v>0</v>
      </c>
      <c r="J178" s="35">
        <f t="shared" si="85"/>
        <v>0</v>
      </c>
      <c r="K178" s="35">
        <f t="shared" si="85"/>
        <v>0</v>
      </c>
      <c r="L178" s="35" t="e">
        <f t="shared" si="75"/>
        <v>#DIV/0!</v>
      </c>
      <c r="M178" s="35" t="e">
        <f t="shared" si="76"/>
        <v>#DIV/0!</v>
      </c>
    </row>
    <row r="179" spans="1:13" hidden="1">
      <c r="A179" s="59" t="s">
        <v>56</v>
      </c>
      <c r="B179" s="28" t="s">
        <v>15</v>
      </c>
      <c r="C179" s="28" t="s">
        <v>130</v>
      </c>
      <c r="D179" s="28" t="s">
        <v>17</v>
      </c>
      <c r="E179" s="28" t="s">
        <v>133</v>
      </c>
      <c r="F179" s="28" t="s">
        <v>57</v>
      </c>
      <c r="G179" s="35"/>
      <c r="H179" s="35"/>
      <c r="I179" s="35">
        <v>0</v>
      </c>
      <c r="J179" s="35">
        <v>0</v>
      </c>
      <c r="K179" s="35">
        <v>0</v>
      </c>
      <c r="L179" s="35" t="e">
        <f t="shared" si="75"/>
        <v>#DIV/0!</v>
      </c>
      <c r="M179" s="35" t="e">
        <f t="shared" si="76"/>
        <v>#DIV/0!</v>
      </c>
    </row>
    <row r="180" spans="1:13">
      <c r="A180" s="62" t="s">
        <v>612</v>
      </c>
      <c r="B180" s="28" t="s">
        <v>15</v>
      </c>
      <c r="C180" s="28" t="s">
        <v>130</v>
      </c>
      <c r="D180" s="28" t="s">
        <v>17</v>
      </c>
      <c r="E180" s="29" t="s">
        <v>613</v>
      </c>
      <c r="F180" s="28"/>
      <c r="G180" s="35">
        <f>G181</f>
        <v>0</v>
      </c>
      <c r="H180" s="35">
        <f>H181</f>
        <v>10790.867679999999</v>
      </c>
      <c r="I180" s="35">
        <f t="shared" ref="I180:K180" si="86">I181</f>
        <v>7452.6756800000003</v>
      </c>
      <c r="J180" s="35">
        <f t="shared" si="86"/>
        <v>2767.7204999999999</v>
      </c>
      <c r="K180" s="35">
        <f t="shared" si="86"/>
        <v>2767.7204999999999</v>
      </c>
      <c r="L180" s="35">
        <f t="shared" si="75"/>
        <v>25.648729852648884</v>
      </c>
      <c r="M180" s="35">
        <f t="shared" si="76"/>
        <v>37.137272824409287</v>
      </c>
    </row>
    <row r="181" spans="1:13">
      <c r="A181" s="59" t="s">
        <v>612</v>
      </c>
      <c r="B181" s="28" t="s">
        <v>15</v>
      </c>
      <c r="C181" s="28" t="s">
        <v>130</v>
      </c>
      <c r="D181" s="28" t="s">
        <v>17</v>
      </c>
      <c r="E181" s="29" t="s">
        <v>614</v>
      </c>
      <c r="F181" s="28"/>
      <c r="G181" s="35">
        <f>G182+G184</f>
        <v>0</v>
      </c>
      <c r="H181" s="35">
        <f>H182+H184</f>
        <v>10790.867679999999</v>
      </c>
      <c r="I181" s="35">
        <f t="shared" ref="I181:K181" si="87">I182+I184</f>
        <v>7452.6756800000003</v>
      </c>
      <c r="J181" s="35">
        <f t="shared" si="87"/>
        <v>2767.7204999999999</v>
      </c>
      <c r="K181" s="35">
        <f t="shared" si="87"/>
        <v>2767.7204999999999</v>
      </c>
      <c r="L181" s="35">
        <f t="shared" si="75"/>
        <v>25.648729852648884</v>
      </c>
      <c r="M181" s="35">
        <f t="shared" si="76"/>
        <v>37.137272824409287</v>
      </c>
    </row>
    <row r="182" spans="1:13" ht="25.5">
      <c r="A182" s="59" t="s">
        <v>64</v>
      </c>
      <c r="B182" s="28" t="s">
        <v>15</v>
      </c>
      <c r="C182" s="28" t="s">
        <v>130</v>
      </c>
      <c r="D182" s="28" t="s">
        <v>17</v>
      </c>
      <c r="E182" s="29" t="s">
        <v>614</v>
      </c>
      <c r="F182" s="28">
        <v>200</v>
      </c>
      <c r="G182" s="35">
        <f>G183</f>
        <v>0</v>
      </c>
      <c r="H182" s="35">
        <f>H183</f>
        <v>10790.867679999999</v>
      </c>
      <c r="I182" s="35">
        <f t="shared" ref="I182:K182" si="88">I183</f>
        <v>7452.6756800000003</v>
      </c>
      <c r="J182" s="35">
        <f t="shared" si="88"/>
        <v>2767.7204999999999</v>
      </c>
      <c r="K182" s="35">
        <f t="shared" si="88"/>
        <v>2767.7204999999999</v>
      </c>
      <c r="L182" s="35">
        <f t="shared" si="75"/>
        <v>25.648729852648884</v>
      </c>
      <c r="M182" s="35">
        <f t="shared" si="76"/>
        <v>37.137272824409287</v>
      </c>
    </row>
    <row r="183" spans="1:13" ht="25.5">
      <c r="A183" s="59" t="s">
        <v>66</v>
      </c>
      <c r="B183" s="28" t="s">
        <v>15</v>
      </c>
      <c r="C183" s="28" t="s">
        <v>130</v>
      </c>
      <c r="D183" s="28" t="s">
        <v>17</v>
      </c>
      <c r="E183" s="29" t="s">
        <v>614</v>
      </c>
      <c r="F183" s="28">
        <v>240</v>
      </c>
      <c r="G183" s="35"/>
      <c r="H183" s="35">
        <v>10790.867679999999</v>
      </c>
      <c r="I183" s="35">
        <v>7452.6756800000003</v>
      </c>
      <c r="J183" s="35">
        <v>2767.7204999999999</v>
      </c>
      <c r="K183" s="35">
        <v>2767.7204999999999</v>
      </c>
      <c r="L183" s="35">
        <f t="shared" si="75"/>
        <v>25.648729852648884</v>
      </c>
      <c r="M183" s="35">
        <f t="shared" si="76"/>
        <v>37.137272824409287</v>
      </c>
    </row>
    <row r="184" spans="1:13" hidden="1">
      <c r="A184" s="59" t="s">
        <v>26</v>
      </c>
      <c r="B184" s="28" t="s">
        <v>15</v>
      </c>
      <c r="C184" s="28" t="s">
        <v>130</v>
      </c>
      <c r="D184" s="28" t="s">
        <v>17</v>
      </c>
      <c r="E184" s="29" t="s">
        <v>614</v>
      </c>
      <c r="F184" s="28">
        <v>500</v>
      </c>
      <c r="G184" s="35">
        <f>G185</f>
        <v>0</v>
      </c>
      <c r="H184" s="35">
        <f>H185</f>
        <v>0</v>
      </c>
      <c r="I184" s="35">
        <f t="shared" ref="I184:K184" si="89">I185</f>
        <v>0</v>
      </c>
      <c r="J184" s="35">
        <f t="shared" si="89"/>
        <v>0</v>
      </c>
      <c r="K184" s="35">
        <f t="shared" si="89"/>
        <v>0</v>
      </c>
      <c r="L184" s="35" t="e">
        <f t="shared" si="75"/>
        <v>#DIV/0!</v>
      </c>
      <c r="M184" s="35" t="e">
        <f t="shared" si="76"/>
        <v>#DIV/0!</v>
      </c>
    </row>
    <row r="185" spans="1:13" hidden="1">
      <c r="A185" s="59" t="s">
        <v>352</v>
      </c>
      <c r="B185" s="28" t="s">
        <v>15</v>
      </c>
      <c r="C185" s="28" t="s">
        <v>130</v>
      </c>
      <c r="D185" s="28" t="s">
        <v>17</v>
      </c>
      <c r="E185" s="29" t="s">
        <v>614</v>
      </c>
      <c r="F185" s="28">
        <v>540</v>
      </c>
      <c r="G185" s="35"/>
      <c r="H185" s="35"/>
      <c r="I185" s="35"/>
      <c r="J185" s="35"/>
      <c r="K185" s="35"/>
      <c r="L185" s="35" t="e">
        <f t="shared" si="75"/>
        <v>#DIV/0!</v>
      </c>
      <c r="M185" s="35" t="e">
        <f t="shared" si="76"/>
        <v>#DIV/0!</v>
      </c>
    </row>
    <row r="186" spans="1:13">
      <c r="A186" s="59"/>
      <c r="B186" s="28"/>
      <c r="C186" s="28"/>
      <c r="D186" s="28"/>
      <c r="E186" s="29"/>
      <c r="F186" s="28"/>
      <c r="G186" s="35"/>
      <c r="H186" s="35"/>
      <c r="I186" s="35"/>
      <c r="J186" s="35"/>
      <c r="K186" s="35"/>
      <c r="L186" s="35"/>
      <c r="M186" s="35"/>
    </row>
    <row r="187" spans="1:13">
      <c r="A187" s="59" t="s">
        <v>134</v>
      </c>
      <c r="B187" s="28" t="s">
        <v>15</v>
      </c>
      <c r="C187" s="28" t="s">
        <v>46</v>
      </c>
      <c r="D187" s="58" t="s">
        <v>0</v>
      </c>
      <c r="E187" s="58" t="s">
        <v>0</v>
      </c>
      <c r="F187" s="58" t="s">
        <v>0</v>
      </c>
      <c r="G187" s="35">
        <f>G188</f>
        <v>1999.1</v>
      </c>
      <c r="H187" s="35">
        <f t="shared" ref="H187:K187" si="90">H188</f>
        <v>1999.116</v>
      </c>
      <c r="I187" s="35">
        <f t="shared" si="90"/>
        <v>1878</v>
      </c>
      <c r="J187" s="35">
        <f t="shared" si="90"/>
        <v>1878</v>
      </c>
      <c r="K187" s="35">
        <f t="shared" si="90"/>
        <v>1902.9622300000001</v>
      </c>
      <c r="L187" s="35">
        <f t="shared" si="75"/>
        <v>95.190185562018414</v>
      </c>
      <c r="M187" s="35">
        <f t="shared" si="76"/>
        <v>101.3291922257721</v>
      </c>
    </row>
    <row r="188" spans="1:13">
      <c r="A188" s="59" t="s">
        <v>135</v>
      </c>
      <c r="B188" s="28" t="s">
        <v>15</v>
      </c>
      <c r="C188" s="28" t="s">
        <v>46</v>
      </c>
      <c r="D188" s="28" t="s">
        <v>17</v>
      </c>
      <c r="E188" s="58" t="s">
        <v>0</v>
      </c>
      <c r="F188" s="58" t="s">
        <v>0</v>
      </c>
      <c r="G188" s="35">
        <f>G189+G197</f>
        <v>1999.1</v>
      </c>
      <c r="H188" s="35">
        <f t="shared" ref="H188:K188" si="91">H189+H197</f>
        <v>1999.116</v>
      </c>
      <c r="I188" s="35">
        <f t="shared" si="91"/>
        <v>1878</v>
      </c>
      <c r="J188" s="35">
        <f t="shared" si="91"/>
        <v>1878</v>
      </c>
      <c r="K188" s="35">
        <f t="shared" si="91"/>
        <v>1902.9622300000001</v>
      </c>
      <c r="L188" s="35">
        <f t="shared" si="75"/>
        <v>95.190185562018414</v>
      </c>
      <c r="M188" s="35">
        <f t="shared" si="76"/>
        <v>101.3291922257721</v>
      </c>
    </row>
    <row r="189" spans="1:13" ht="38.25">
      <c r="A189" s="59" t="s">
        <v>136</v>
      </c>
      <c r="B189" s="28" t="s">
        <v>15</v>
      </c>
      <c r="C189" s="28" t="s">
        <v>46</v>
      </c>
      <c r="D189" s="28" t="s">
        <v>17</v>
      </c>
      <c r="E189" s="28" t="s">
        <v>137</v>
      </c>
      <c r="F189" s="58" t="s">
        <v>0</v>
      </c>
      <c r="G189" s="35">
        <f>G190+G194</f>
        <v>1999.1</v>
      </c>
      <c r="H189" s="35">
        <f t="shared" ref="H189:K189" si="92">H190+H194</f>
        <v>1999.116</v>
      </c>
      <c r="I189" s="35">
        <f t="shared" si="92"/>
        <v>1878</v>
      </c>
      <c r="J189" s="35">
        <f t="shared" si="92"/>
        <v>1878</v>
      </c>
      <c r="K189" s="35">
        <f t="shared" si="92"/>
        <v>1902.9622300000001</v>
      </c>
      <c r="L189" s="35">
        <f t="shared" si="75"/>
        <v>95.190185562018414</v>
      </c>
      <c r="M189" s="35">
        <f t="shared" si="76"/>
        <v>101.3291922257721</v>
      </c>
    </row>
    <row r="190" spans="1:13" ht="38.25">
      <c r="A190" s="59" t="s">
        <v>138</v>
      </c>
      <c r="B190" s="28" t="s">
        <v>15</v>
      </c>
      <c r="C190" s="28" t="s">
        <v>46</v>
      </c>
      <c r="D190" s="28" t="s">
        <v>17</v>
      </c>
      <c r="E190" s="28" t="s">
        <v>139</v>
      </c>
      <c r="F190" s="58" t="s">
        <v>0</v>
      </c>
      <c r="G190" s="35">
        <f>G191</f>
        <v>214.1</v>
      </c>
      <c r="H190" s="35">
        <f t="shared" ref="H190:K192" si="93">H191</f>
        <v>214.11600000000001</v>
      </c>
      <c r="I190" s="35">
        <f t="shared" si="93"/>
        <v>93</v>
      </c>
      <c r="J190" s="35">
        <f t="shared" si="93"/>
        <v>93</v>
      </c>
      <c r="K190" s="35">
        <f t="shared" si="93"/>
        <v>117.96223000000001</v>
      </c>
      <c r="L190" s="35">
        <f t="shared" si="75"/>
        <v>55.092674064525774</v>
      </c>
      <c r="M190" s="35">
        <f t="shared" si="76"/>
        <v>126.84110752688173</v>
      </c>
    </row>
    <row r="191" spans="1:13" ht="25.5">
      <c r="A191" s="59" t="s">
        <v>76</v>
      </c>
      <c r="B191" s="28" t="s">
        <v>15</v>
      </c>
      <c r="C191" s="28" t="s">
        <v>46</v>
      </c>
      <c r="D191" s="28" t="s">
        <v>17</v>
      </c>
      <c r="E191" s="28" t="s">
        <v>140</v>
      </c>
      <c r="F191" s="58" t="s">
        <v>0</v>
      </c>
      <c r="G191" s="35">
        <f>G192</f>
        <v>214.1</v>
      </c>
      <c r="H191" s="35">
        <f t="shared" si="93"/>
        <v>214.11600000000001</v>
      </c>
      <c r="I191" s="35">
        <f t="shared" si="93"/>
        <v>93</v>
      </c>
      <c r="J191" s="35">
        <f t="shared" si="93"/>
        <v>93</v>
      </c>
      <c r="K191" s="35">
        <f t="shared" si="93"/>
        <v>117.96223000000001</v>
      </c>
      <c r="L191" s="35">
        <f t="shared" si="75"/>
        <v>55.092674064525774</v>
      </c>
      <c r="M191" s="35">
        <f t="shared" si="76"/>
        <v>126.84110752688173</v>
      </c>
    </row>
    <row r="192" spans="1:13" ht="25.5">
      <c r="A192" s="59" t="s">
        <v>64</v>
      </c>
      <c r="B192" s="28" t="s">
        <v>15</v>
      </c>
      <c r="C192" s="28" t="s">
        <v>46</v>
      </c>
      <c r="D192" s="28" t="s">
        <v>17</v>
      </c>
      <c r="E192" s="28" t="s">
        <v>140</v>
      </c>
      <c r="F192" s="28" t="s">
        <v>65</v>
      </c>
      <c r="G192" s="35">
        <f>G193</f>
        <v>214.1</v>
      </c>
      <c r="H192" s="35">
        <f t="shared" si="93"/>
        <v>214.11600000000001</v>
      </c>
      <c r="I192" s="35">
        <f t="shared" si="93"/>
        <v>93</v>
      </c>
      <c r="J192" s="35">
        <f t="shared" si="93"/>
        <v>93</v>
      </c>
      <c r="K192" s="35">
        <f t="shared" si="93"/>
        <v>117.96223000000001</v>
      </c>
      <c r="L192" s="35">
        <f t="shared" si="75"/>
        <v>55.092674064525774</v>
      </c>
      <c r="M192" s="35">
        <f t="shared" si="76"/>
        <v>126.84110752688173</v>
      </c>
    </row>
    <row r="193" spans="1:13" ht="25.5">
      <c r="A193" s="59" t="s">
        <v>66</v>
      </c>
      <c r="B193" s="28" t="s">
        <v>15</v>
      </c>
      <c r="C193" s="28" t="s">
        <v>46</v>
      </c>
      <c r="D193" s="28" t="s">
        <v>17</v>
      </c>
      <c r="E193" s="28" t="s">
        <v>140</v>
      </c>
      <c r="F193" s="28" t="s">
        <v>67</v>
      </c>
      <c r="G193" s="35">
        <v>214.1</v>
      </c>
      <c r="H193" s="35">
        <v>214.11600000000001</v>
      </c>
      <c r="I193" s="35">
        <v>93</v>
      </c>
      <c r="J193" s="35">
        <v>93</v>
      </c>
      <c r="K193" s="35">
        <f>93+24.96223</f>
        <v>117.96223000000001</v>
      </c>
      <c r="L193" s="35">
        <f t="shared" si="75"/>
        <v>55.092674064525774</v>
      </c>
      <c r="M193" s="35">
        <f t="shared" si="76"/>
        <v>126.84110752688173</v>
      </c>
    </row>
    <row r="194" spans="1:13" ht="38.25">
      <c r="A194" s="59" t="s">
        <v>37</v>
      </c>
      <c r="B194" s="28" t="s">
        <v>15</v>
      </c>
      <c r="C194" s="28" t="s">
        <v>46</v>
      </c>
      <c r="D194" s="28" t="s">
        <v>17</v>
      </c>
      <c r="E194" s="28" t="s">
        <v>141</v>
      </c>
      <c r="F194" s="58" t="s">
        <v>0</v>
      </c>
      <c r="G194" s="35">
        <f>G195</f>
        <v>1785</v>
      </c>
      <c r="H194" s="35">
        <f t="shared" ref="H194:K195" si="94">H195</f>
        <v>1785</v>
      </c>
      <c r="I194" s="35">
        <f t="shared" si="94"/>
        <v>1785</v>
      </c>
      <c r="J194" s="35">
        <f t="shared" si="94"/>
        <v>1785</v>
      </c>
      <c r="K194" s="35">
        <f t="shared" si="94"/>
        <v>1785</v>
      </c>
      <c r="L194" s="35">
        <f t="shared" si="75"/>
        <v>100</v>
      </c>
      <c r="M194" s="35">
        <f t="shared" si="76"/>
        <v>100</v>
      </c>
    </row>
    <row r="195" spans="1:13" ht="25.5">
      <c r="A195" s="59" t="s">
        <v>39</v>
      </c>
      <c r="B195" s="28" t="s">
        <v>15</v>
      </c>
      <c r="C195" s="28" t="s">
        <v>46</v>
      </c>
      <c r="D195" s="28" t="s">
        <v>17</v>
      </c>
      <c r="E195" s="28" t="s">
        <v>141</v>
      </c>
      <c r="F195" s="28" t="s">
        <v>40</v>
      </c>
      <c r="G195" s="35">
        <f>G196</f>
        <v>1785</v>
      </c>
      <c r="H195" s="35">
        <f t="shared" si="94"/>
        <v>1785</v>
      </c>
      <c r="I195" s="35">
        <f t="shared" si="94"/>
        <v>1785</v>
      </c>
      <c r="J195" s="35">
        <f t="shared" si="94"/>
        <v>1785</v>
      </c>
      <c r="K195" s="35">
        <f t="shared" si="94"/>
        <v>1785</v>
      </c>
      <c r="L195" s="35">
        <f t="shared" si="75"/>
        <v>100</v>
      </c>
      <c r="M195" s="35">
        <f t="shared" si="76"/>
        <v>100</v>
      </c>
    </row>
    <row r="196" spans="1:13">
      <c r="A196" s="59" t="s">
        <v>41</v>
      </c>
      <c r="B196" s="28" t="s">
        <v>15</v>
      </c>
      <c r="C196" s="28" t="s">
        <v>46</v>
      </c>
      <c r="D196" s="28" t="s">
        <v>17</v>
      </c>
      <c r="E196" s="28" t="s">
        <v>141</v>
      </c>
      <c r="F196" s="28" t="s">
        <v>42</v>
      </c>
      <c r="G196" s="35">
        <v>1785</v>
      </c>
      <c r="H196" s="35">
        <v>1785</v>
      </c>
      <c r="I196" s="35">
        <v>1785</v>
      </c>
      <c r="J196" s="35">
        <v>1785</v>
      </c>
      <c r="K196" s="35">
        <v>1785</v>
      </c>
      <c r="L196" s="35">
        <f t="shared" si="75"/>
        <v>100</v>
      </c>
      <c r="M196" s="35">
        <f t="shared" si="76"/>
        <v>100</v>
      </c>
    </row>
    <row r="197" spans="1:13" ht="25.5" hidden="1">
      <c r="A197" s="59" t="s">
        <v>142</v>
      </c>
      <c r="B197" s="28" t="s">
        <v>15</v>
      </c>
      <c r="C197" s="28" t="s">
        <v>46</v>
      </c>
      <c r="D197" s="28" t="s">
        <v>17</v>
      </c>
      <c r="E197" s="28" t="s">
        <v>143</v>
      </c>
      <c r="F197" s="58" t="s">
        <v>0</v>
      </c>
      <c r="G197" s="35">
        <f>G198</f>
        <v>0</v>
      </c>
      <c r="H197" s="35">
        <f t="shared" ref="H197:K199" si="95">H198</f>
        <v>0</v>
      </c>
      <c r="I197" s="35">
        <f t="shared" si="95"/>
        <v>0</v>
      </c>
      <c r="J197" s="35">
        <f t="shared" si="95"/>
        <v>0</v>
      </c>
      <c r="K197" s="35">
        <f t="shared" si="95"/>
        <v>0</v>
      </c>
      <c r="L197" s="35" t="e">
        <f t="shared" si="75"/>
        <v>#DIV/0!</v>
      </c>
      <c r="M197" s="35" t="e">
        <f t="shared" si="76"/>
        <v>#DIV/0!</v>
      </c>
    </row>
    <row r="198" spans="1:13" ht="38.25" hidden="1">
      <c r="A198" s="59" t="s">
        <v>37</v>
      </c>
      <c r="B198" s="28" t="s">
        <v>15</v>
      </c>
      <c r="C198" s="28" t="s">
        <v>46</v>
      </c>
      <c r="D198" s="28" t="s">
        <v>17</v>
      </c>
      <c r="E198" s="28" t="s">
        <v>144</v>
      </c>
      <c r="F198" s="58" t="s">
        <v>0</v>
      </c>
      <c r="G198" s="35">
        <f>G199</f>
        <v>0</v>
      </c>
      <c r="H198" s="35">
        <f t="shared" si="95"/>
        <v>0</v>
      </c>
      <c r="I198" s="35">
        <f t="shared" si="95"/>
        <v>0</v>
      </c>
      <c r="J198" s="35">
        <f t="shared" si="95"/>
        <v>0</v>
      </c>
      <c r="K198" s="35">
        <f t="shared" si="95"/>
        <v>0</v>
      </c>
      <c r="L198" s="35" t="e">
        <f t="shared" si="75"/>
        <v>#DIV/0!</v>
      </c>
      <c r="M198" s="35" t="e">
        <f t="shared" si="76"/>
        <v>#DIV/0!</v>
      </c>
    </row>
    <row r="199" spans="1:13" hidden="1">
      <c r="A199" s="59" t="s">
        <v>72</v>
      </c>
      <c r="B199" s="28" t="s">
        <v>15</v>
      </c>
      <c r="C199" s="28" t="s">
        <v>46</v>
      </c>
      <c r="D199" s="28" t="s">
        <v>17</v>
      </c>
      <c r="E199" s="28" t="s">
        <v>144</v>
      </c>
      <c r="F199" s="28" t="s">
        <v>73</v>
      </c>
      <c r="G199" s="35">
        <f>G200</f>
        <v>0</v>
      </c>
      <c r="H199" s="35">
        <f t="shared" si="95"/>
        <v>0</v>
      </c>
      <c r="I199" s="35">
        <f t="shared" si="95"/>
        <v>0</v>
      </c>
      <c r="J199" s="35">
        <f t="shared" si="95"/>
        <v>0</v>
      </c>
      <c r="K199" s="35">
        <f t="shared" si="95"/>
        <v>0</v>
      </c>
      <c r="L199" s="35" t="e">
        <f t="shared" si="75"/>
        <v>#DIV/0!</v>
      </c>
      <c r="M199" s="35" t="e">
        <f t="shared" si="76"/>
        <v>#DIV/0!</v>
      </c>
    </row>
    <row r="200" spans="1:13" hidden="1">
      <c r="A200" s="59" t="s">
        <v>145</v>
      </c>
      <c r="B200" s="28" t="s">
        <v>15</v>
      </c>
      <c r="C200" s="28" t="s">
        <v>46</v>
      </c>
      <c r="D200" s="28" t="s">
        <v>17</v>
      </c>
      <c r="E200" s="28" t="s">
        <v>144</v>
      </c>
      <c r="F200" s="28" t="s">
        <v>146</v>
      </c>
      <c r="G200" s="35"/>
      <c r="H200" s="35"/>
      <c r="I200" s="35">
        <v>0</v>
      </c>
      <c r="J200" s="35">
        <v>0</v>
      </c>
      <c r="K200" s="35">
        <v>0</v>
      </c>
      <c r="L200" s="35" t="e">
        <f t="shared" si="75"/>
        <v>#DIV/0!</v>
      </c>
      <c r="M200" s="35" t="e">
        <f t="shared" si="76"/>
        <v>#DIV/0!</v>
      </c>
    </row>
    <row r="201" spans="1:13">
      <c r="A201" s="60" t="s">
        <v>0</v>
      </c>
      <c r="B201" s="58" t="s">
        <v>0</v>
      </c>
      <c r="C201" s="58" t="s">
        <v>0</v>
      </c>
      <c r="D201" s="58" t="s">
        <v>0</v>
      </c>
      <c r="E201" s="58" t="s">
        <v>0</v>
      </c>
      <c r="F201" s="58" t="s">
        <v>0</v>
      </c>
      <c r="G201" s="61" t="s">
        <v>0</v>
      </c>
      <c r="H201" s="61" t="s">
        <v>0</v>
      </c>
      <c r="I201" s="61" t="s">
        <v>0</v>
      </c>
      <c r="J201" s="61" t="s">
        <v>0</v>
      </c>
      <c r="K201" s="61" t="s">
        <v>0</v>
      </c>
      <c r="L201" s="35"/>
      <c r="M201" s="35"/>
    </row>
    <row r="202" spans="1:13">
      <c r="A202" s="59" t="s">
        <v>147</v>
      </c>
      <c r="B202" s="28" t="s">
        <v>15</v>
      </c>
      <c r="C202" s="28" t="s">
        <v>148</v>
      </c>
      <c r="D202" s="58" t="s">
        <v>0</v>
      </c>
      <c r="E202" s="58" t="s">
        <v>0</v>
      </c>
      <c r="F202" s="58" t="s">
        <v>0</v>
      </c>
      <c r="G202" s="35">
        <f t="shared" ref="G202:G207" si="96">G203</f>
        <v>32723.4</v>
      </c>
      <c r="H202" s="35">
        <f t="shared" ref="H202:K207" si="97">H203</f>
        <v>27646.799999999999</v>
      </c>
      <c r="I202" s="35">
        <f t="shared" si="97"/>
        <v>7107.39</v>
      </c>
      <c r="J202" s="35">
        <f t="shared" si="97"/>
        <v>5193.3059999999996</v>
      </c>
      <c r="K202" s="35">
        <f t="shared" si="97"/>
        <v>5193.3059999999996</v>
      </c>
      <c r="L202" s="35">
        <f t="shared" si="75"/>
        <v>18.78447415252398</v>
      </c>
      <c r="M202" s="35">
        <f t="shared" si="76"/>
        <v>73.069101315672839</v>
      </c>
    </row>
    <row r="203" spans="1:13">
      <c r="A203" s="59" t="s">
        <v>149</v>
      </c>
      <c r="B203" s="28" t="s">
        <v>15</v>
      </c>
      <c r="C203" s="28" t="s">
        <v>148</v>
      </c>
      <c r="D203" s="28" t="s">
        <v>150</v>
      </c>
      <c r="E203" s="58" t="s">
        <v>0</v>
      </c>
      <c r="F203" s="58" t="s">
        <v>0</v>
      </c>
      <c r="G203" s="35">
        <f t="shared" si="96"/>
        <v>32723.4</v>
      </c>
      <c r="H203" s="35">
        <f t="shared" si="97"/>
        <v>27646.799999999999</v>
      </c>
      <c r="I203" s="35">
        <f t="shared" si="97"/>
        <v>7107.39</v>
      </c>
      <c r="J203" s="35">
        <f t="shared" si="97"/>
        <v>5193.3059999999996</v>
      </c>
      <c r="K203" s="35">
        <f t="shared" si="97"/>
        <v>5193.3059999999996</v>
      </c>
      <c r="L203" s="35">
        <f t="shared" si="75"/>
        <v>18.78447415252398</v>
      </c>
      <c r="M203" s="35">
        <f t="shared" si="76"/>
        <v>73.069101315672839</v>
      </c>
    </row>
    <row r="204" spans="1:13" ht="51">
      <c r="A204" s="59" t="s">
        <v>20</v>
      </c>
      <c r="B204" s="28" t="s">
        <v>15</v>
      </c>
      <c r="C204" s="28" t="s">
        <v>148</v>
      </c>
      <c r="D204" s="28" t="s">
        <v>150</v>
      </c>
      <c r="E204" s="28" t="s">
        <v>21</v>
      </c>
      <c r="F204" s="58" t="s">
        <v>0</v>
      </c>
      <c r="G204" s="35">
        <f t="shared" si="96"/>
        <v>32723.4</v>
      </c>
      <c r="H204" s="35">
        <f t="shared" si="97"/>
        <v>27646.799999999999</v>
      </c>
      <c r="I204" s="35">
        <f t="shared" si="97"/>
        <v>7107.39</v>
      </c>
      <c r="J204" s="35">
        <f t="shared" si="97"/>
        <v>5193.3059999999996</v>
      </c>
      <c r="K204" s="35">
        <f t="shared" si="97"/>
        <v>5193.3059999999996</v>
      </c>
      <c r="L204" s="35">
        <f t="shared" si="75"/>
        <v>18.78447415252398</v>
      </c>
      <c r="M204" s="35">
        <f t="shared" si="76"/>
        <v>73.069101315672839</v>
      </c>
    </row>
    <row r="205" spans="1:13" ht="38.25">
      <c r="A205" s="59" t="s">
        <v>52</v>
      </c>
      <c r="B205" s="28" t="s">
        <v>15</v>
      </c>
      <c r="C205" s="28" t="s">
        <v>148</v>
      </c>
      <c r="D205" s="28" t="s">
        <v>150</v>
      </c>
      <c r="E205" s="28" t="s">
        <v>53</v>
      </c>
      <c r="F205" s="58" t="s">
        <v>0</v>
      </c>
      <c r="G205" s="35">
        <f t="shared" si="96"/>
        <v>32723.4</v>
      </c>
      <c r="H205" s="35">
        <f t="shared" si="97"/>
        <v>27646.799999999999</v>
      </c>
      <c r="I205" s="35">
        <f t="shared" si="97"/>
        <v>7107.39</v>
      </c>
      <c r="J205" s="35">
        <f t="shared" si="97"/>
        <v>5193.3059999999996</v>
      </c>
      <c r="K205" s="35">
        <f t="shared" si="97"/>
        <v>5193.3059999999996</v>
      </c>
      <c r="L205" s="35">
        <f t="shared" si="75"/>
        <v>18.78447415252398</v>
      </c>
      <c r="M205" s="35">
        <f t="shared" si="76"/>
        <v>73.069101315672839</v>
      </c>
    </row>
    <row r="206" spans="1:13" ht="25.5">
      <c r="A206" s="59" t="s">
        <v>95</v>
      </c>
      <c r="B206" s="28" t="s">
        <v>15</v>
      </c>
      <c r="C206" s="28" t="s">
        <v>148</v>
      </c>
      <c r="D206" s="28" t="s">
        <v>150</v>
      </c>
      <c r="E206" s="28" t="s">
        <v>96</v>
      </c>
      <c r="F206" s="58" t="s">
        <v>0</v>
      </c>
      <c r="G206" s="35">
        <f t="shared" si="96"/>
        <v>32723.4</v>
      </c>
      <c r="H206" s="35">
        <f t="shared" si="97"/>
        <v>27646.799999999999</v>
      </c>
      <c r="I206" s="35">
        <f t="shared" si="97"/>
        <v>7107.39</v>
      </c>
      <c r="J206" s="35">
        <f t="shared" si="97"/>
        <v>5193.3059999999996</v>
      </c>
      <c r="K206" s="35">
        <f t="shared" si="97"/>
        <v>5193.3059999999996</v>
      </c>
      <c r="L206" s="35">
        <f t="shared" si="75"/>
        <v>18.78447415252398</v>
      </c>
      <c r="M206" s="35">
        <f t="shared" si="76"/>
        <v>73.069101315672839</v>
      </c>
    </row>
    <row r="207" spans="1:13">
      <c r="A207" s="59" t="s">
        <v>68</v>
      </c>
      <c r="B207" s="28" t="s">
        <v>15</v>
      </c>
      <c r="C207" s="28" t="s">
        <v>148</v>
      </c>
      <c r="D207" s="28" t="s">
        <v>150</v>
      </c>
      <c r="E207" s="28" t="s">
        <v>96</v>
      </c>
      <c r="F207" s="28" t="s">
        <v>69</v>
      </c>
      <c r="G207" s="35">
        <f t="shared" si="96"/>
        <v>32723.4</v>
      </c>
      <c r="H207" s="35">
        <f t="shared" si="97"/>
        <v>27646.799999999999</v>
      </c>
      <c r="I207" s="35">
        <f t="shared" si="97"/>
        <v>7107.39</v>
      </c>
      <c r="J207" s="35">
        <f t="shared" si="97"/>
        <v>5193.3059999999996</v>
      </c>
      <c r="K207" s="35">
        <f t="shared" si="97"/>
        <v>5193.3059999999996</v>
      </c>
      <c r="L207" s="35">
        <f t="shared" si="75"/>
        <v>18.78447415252398</v>
      </c>
      <c r="M207" s="35">
        <f t="shared" si="76"/>
        <v>73.069101315672839</v>
      </c>
    </row>
    <row r="208" spans="1:13" ht="25.5">
      <c r="A208" s="59" t="s">
        <v>151</v>
      </c>
      <c r="B208" s="28" t="s">
        <v>15</v>
      </c>
      <c r="C208" s="28" t="s">
        <v>148</v>
      </c>
      <c r="D208" s="28" t="s">
        <v>150</v>
      </c>
      <c r="E208" s="28" t="s">
        <v>96</v>
      </c>
      <c r="F208" s="28" t="s">
        <v>152</v>
      </c>
      <c r="G208" s="35">
        <v>32723.4</v>
      </c>
      <c r="H208" s="35">
        <v>27646.799999999999</v>
      </c>
      <c r="I208" s="35">
        <v>7107.39</v>
      </c>
      <c r="J208" s="35">
        <v>5193.3059999999996</v>
      </c>
      <c r="K208" s="35">
        <v>5193.3059999999996</v>
      </c>
      <c r="L208" s="35">
        <f t="shared" si="75"/>
        <v>18.78447415252398</v>
      </c>
      <c r="M208" s="35">
        <f t="shared" si="76"/>
        <v>73.069101315672839</v>
      </c>
    </row>
    <row r="209" spans="1:13">
      <c r="A209" s="60" t="s">
        <v>0</v>
      </c>
      <c r="B209" s="58" t="s">
        <v>0</v>
      </c>
      <c r="C209" s="58" t="s">
        <v>0</v>
      </c>
      <c r="D209" s="58" t="s">
        <v>0</v>
      </c>
      <c r="E209" s="58" t="s">
        <v>0</v>
      </c>
      <c r="F209" s="58" t="s">
        <v>0</v>
      </c>
      <c r="G209" s="61" t="s">
        <v>0</v>
      </c>
      <c r="H209" s="61" t="s">
        <v>0</v>
      </c>
      <c r="I209" s="61" t="s">
        <v>0</v>
      </c>
      <c r="J209" s="61" t="s">
        <v>0</v>
      </c>
      <c r="K209" s="61" t="s">
        <v>0</v>
      </c>
      <c r="L209" s="35"/>
      <c r="M209" s="35"/>
    </row>
    <row r="210" spans="1:13">
      <c r="A210" s="59" t="s">
        <v>153</v>
      </c>
      <c r="B210" s="28" t="s">
        <v>15</v>
      </c>
      <c r="C210" s="28" t="s">
        <v>154</v>
      </c>
      <c r="D210" s="58" t="s">
        <v>0</v>
      </c>
      <c r="E210" s="58" t="s">
        <v>0</v>
      </c>
      <c r="F210" s="58" t="s">
        <v>0</v>
      </c>
      <c r="G210" s="35">
        <f>G211</f>
        <v>73782</v>
      </c>
      <c r="H210" s="35">
        <f t="shared" ref="H210:K212" si="98">H211</f>
        <v>73781.964170000007</v>
      </c>
      <c r="I210" s="35">
        <f t="shared" si="98"/>
        <v>62954.340900000003</v>
      </c>
      <c r="J210" s="35">
        <f t="shared" si="98"/>
        <v>62954.340900000003</v>
      </c>
      <c r="K210" s="35">
        <f t="shared" si="98"/>
        <v>62954.340900000003</v>
      </c>
      <c r="L210" s="35">
        <f t="shared" si="75"/>
        <v>85.324837320605582</v>
      </c>
      <c r="M210" s="35">
        <f t="shared" si="76"/>
        <v>100</v>
      </c>
    </row>
    <row r="211" spans="1:13">
      <c r="A211" s="59" t="s">
        <v>155</v>
      </c>
      <c r="B211" s="28" t="s">
        <v>15</v>
      </c>
      <c r="C211" s="28" t="s">
        <v>154</v>
      </c>
      <c r="D211" s="28" t="s">
        <v>106</v>
      </c>
      <c r="E211" s="58" t="s">
        <v>0</v>
      </c>
      <c r="F211" s="58" t="s">
        <v>0</v>
      </c>
      <c r="G211" s="35">
        <f>G212</f>
        <v>73782</v>
      </c>
      <c r="H211" s="35">
        <f t="shared" si="98"/>
        <v>73781.964170000007</v>
      </c>
      <c r="I211" s="35">
        <f t="shared" si="98"/>
        <v>62954.340900000003</v>
      </c>
      <c r="J211" s="35">
        <f t="shared" si="98"/>
        <v>62954.340900000003</v>
      </c>
      <c r="K211" s="35">
        <f t="shared" si="98"/>
        <v>62954.340900000003</v>
      </c>
      <c r="L211" s="35">
        <f t="shared" si="75"/>
        <v>85.324837320605582</v>
      </c>
      <c r="M211" s="35">
        <f t="shared" si="76"/>
        <v>100</v>
      </c>
    </row>
    <row r="212" spans="1:13" ht="63.75">
      <c r="A212" s="59" t="s">
        <v>156</v>
      </c>
      <c r="B212" s="28" t="s">
        <v>15</v>
      </c>
      <c r="C212" s="28" t="s">
        <v>154</v>
      </c>
      <c r="D212" s="28" t="s">
        <v>106</v>
      </c>
      <c r="E212" s="28" t="s">
        <v>157</v>
      </c>
      <c r="F212" s="58" t="s">
        <v>0</v>
      </c>
      <c r="G212" s="35">
        <f>G213</f>
        <v>73782</v>
      </c>
      <c r="H212" s="35">
        <f t="shared" si="98"/>
        <v>73781.964170000007</v>
      </c>
      <c r="I212" s="35">
        <f t="shared" si="98"/>
        <v>62954.340900000003</v>
      </c>
      <c r="J212" s="35">
        <f t="shared" si="98"/>
        <v>62954.340900000003</v>
      </c>
      <c r="K212" s="35">
        <f t="shared" si="98"/>
        <v>62954.340900000003</v>
      </c>
      <c r="L212" s="35">
        <f t="shared" si="75"/>
        <v>85.324837320605582</v>
      </c>
      <c r="M212" s="35">
        <f t="shared" si="76"/>
        <v>100</v>
      </c>
    </row>
    <row r="213" spans="1:13">
      <c r="A213" s="59" t="s">
        <v>158</v>
      </c>
      <c r="B213" s="28" t="s">
        <v>15</v>
      </c>
      <c r="C213" s="28" t="s">
        <v>154</v>
      </c>
      <c r="D213" s="28" t="s">
        <v>106</v>
      </c>
      <c r="E213" s="28" t="s">
        <v>159</v>
      </c>
      <c r="F213" s="58" t="s">
        <v>0</v>
      </c>
      <c r="G213" s="35">
        <f>G214+G217+G220</f>
        <v>73782</v>
      </c>
      <c r="H213" s="35">
        <f t="shared" ref="H213:K213" si="99">H214+H217+H220</f>
        <v>73781.964170000007</v>
      </c>
      <c r="I213" s="35">
        <f t="shared" si="99"/>
        <v>62954.340900000003</v>
      </c>
      <c r="J213" s="35">
        <f t="shared" si="99"/>
        <v>62954.340900000003</v>
      </c>
      <c r="K213" s="35">
        <f t="shared" si="99"/>
        <v>62954.340900000003</v>
      </c>
      <c r="L213" s="35">
        <f t="shared" si="75"/>
        <v>85.324837320605582</v>
      </c>
      <c r="M213" s="35">
        <f t="shared" si="76"/>
        <v>100</v>
      </c>
    </row>
    <row r="214" spans="1:13" ht="38.25">
      <c r="A214" s="59" t="s">
        <v>37</v>
      </c>
      <c r="B214" s="28" t="s">
        <v>15</v>
      </c>
      <c r="C214" s="28" t="s">
        <v>154</v>
      </c>
      <c r="D214" s="28" t="s">
        <v>106</v>
      </c>
      <c r="E214" s="28" t="s">
        <v>160</v>
      </c>
      <c r="F214" s="58" t="s">
        <v>0</v>
      </c>
      <c r="G214" s="35">
        <f>G215</f>
        <v>60000</v>
      </c>
      <c r="H214" s="35">
        <f t="shared" ref="H214:K215" si="100">H215</f>
        <v>60000</v>
      </c>
      <c r="I214" s="35">
        <f t="shared" si="100"/>
        <v>51011.65494</v>
      </c>
      <c r="J214" s="35">
        <f t="shared" si="100"/>
        <v>51011.65494</v>
      </c>
      <c r="K214" s="35">
        <f t="shared" si="100"/>
        <v>51011.65494</v>
      </c>
      <c r="L214" s="35">
        <f t="shared" si="75"/>
        <v>85.01942489999999</v>
      </c>
      <c r="M214" s="35">
        <f t="shared" si="76"/>
        <v>100</v>
      </c>
    </row>
    <row r="215" spans="1:13" ht="25.5">
      <c r="A215" s="59" t="s">
        <v>39</v>
      </c>
      <c r="B215" s="28" t="s">
        <v>15</v>
      </c>
      <c r="C215" s="28" t="s">
        <v>154</v>
      </c>
      <c r="D215" s="28" t="s">
        <v>106</v>
      </c>
      <c r="E215" s="28" t="s">
        <v>160</v>
      </c>
      <c r="F215" s="28" t="s">
        <v>40</v>
      </c>
      <c r="G215" s="35">
        <f>G216</f>
        <v>60000</v>
      </c>
      <c r="H215" s="35">
        <f t="shared" si="100"/>
        <v>60000</v>
      </c>
      <c r="I215" s="35">
        <f t="shared" si="100"/>
        <v>51011.65494</v>
      </c>
      <c r="J215" s="35">
        <f t="shared" si="100"/>
        <v>51011.65494</v>
      </c>
      <c r="K215" s="35">
        <f t="shared" si="100"/>
        <v>51011.65494</v>
      </c>
      <c r="L215" s="35">
        <f t="shared" si="75"/>
        <v>85.01942489999999</v>
      </c>
      <c r="M215" s="35">
        <f t="shared" si="76"/>
        <v>100</v>
      </c>
    </row>
    <row r="216" spans="1:13">
      <c r="A216" s="59" t="s">
        <v>41</v>
      </c>
      <c r="B216" s="28" t="s">
        <v>15</v>
      </c>
      <c r="C216" s="28" t="s">
        <v>154</v>
      </c>
      <c r="D216" s="28" t="s">
        <v>106</v>
      </c>
      <c r="E216" s="28" t="s">
        <v>160</v>
      </c>
      <c r="F216" s="28" t="s">
        <v>42</v>
      </c>
      <c r="G216" s="35">
        <v>60000</v>
      </c>
      <c r="H216" s="35">
        <v>60000</v>
      </c>
      <c r="I216" s="35">
        <v>51011.65494</v>
      </c>
      <c r="J216" s="35">
        <v>51011.65494</v>
      </c>
      <c r="K216" s="35">
        <v>51011.65494</v>
      </c>
      <c r="L216" s="35">
        <f t="shared" si="75"/>
        <v>85.01942489999999</v>
      </c>
      <c r="M216" s="35">
        <f t="shared" si="76"/>
        <v>100</v>
      </c>
    </row>
    <row r="217" spans="1:13" ht="25.5">
      <c r="A217" s="59" t="s">
        <v>107</v>
      </c>
      <c r="B217" s="28" t="s">
        <v>15</v>
      </c>
      <c r="C217" s="28" t="s">
        <v>154</v>
      </c>
      <c r="D217" s="28" t="s">
        <v>106</v>
      </c>
      <c r="E217" s="28" t="s">
        <v>161</v>
      </c>
      <c r="F217" s="58" t="s">
        <v>0</v>
      </c>
      <c r="G217" s="35">
        <f>G218</f>
        <v>11942.7</v>
      </c>
      <c r="H217" s="35">
        <f t="shared" ref="H217:K218" si="101">H218</f>
        <v>11942.685960000001</v>
      </c>
      <c r="I217" s="35">
        <f t="shared" si="101"/>
        <v>11942.685960000001</v>
      </c>
      <c r="J217" s="35">
        <f t="shared" si="101"/>
        <v>11942.685960000001</v>
      </c>
      <c r="K217" s="35">
        <f t="shared" si="101"/>
        <v>11942.685960000001</v>
      </c>
      <c r="L217" s="35">
        <f t="shared" si="75"/>
        <v>100</v>
      </c>
      <c r="M217" s="35">
        <f t="shared" si="76"/>
        <v>100</v>
      </c>
    </row>
    <row r="218" spans="1:13">
      <c r="A218" s="59" t="s">
        <v>26</v>
      </c>
      <c r="B218" s="28" t="s">
        <v>15</v>
      </c>
      <c r="C218" s="28" t="s">
        <v>154</v>
      </c>
      <c r="D218" s="28" t="s">
        <v>106</v>
      </c>
      <c r="E218" s="28" t="s">
        <v>161</v>
      </c>
      <c r="F218" s="28" t="s">
        <v>27</v>
      </c>
      <c r="G218" s="35">
        <f>G219</f>
        <v>11942.7</v>
      </c>
      <c r="H218" s="35">
        <f t="shared" si="101"/>
        <v>11942.685960000001</v>
      </c>
      <c r="I218" s="35">
        <f t="shared" si="101"/>
        <v>11942.685960000001</v>
      </c>
      <c r="J218" s="35">
        <f t="shared" si="101"/>
        <v>11942.685960000001</v>
      </c>
      <c r="K218" s="35">
        <f t="shared" si="101"/>
        <v>11942.685960000001</v>
      </c>
      <c r="L218" s="35">
        <f t="shared" si="75"/>
        <v>100</v>
      </c>
      <c r="M218" s="35">
        <f t="shared" si="76"/>
        <v>100</v>
      </c>
    </row>
    <row r="219" spans="1:13">
      <c r="A219" s="59" t="s">
        <v>56</v>
      </c>
      <c r="B219" s="28" t="s">
        <v>15</v>
      </c>
      <c r="C219" s="28" t="s">
        <v>154</v>
      </c>
      <c r="D219" s="28" t="s">
        <v>106</v>
      </c>
      <c r="E219" s="28" t="s">
        <v>161</v>
      </c>
      <c r="F219" s="28" t="s">
        <v>57</v>
      </c>
      <c r="G219" s="35">
        <v>11942.7</v>
      </c>
      <c r="H219" s="35">
        <v>11942.685960000001</v>
      </c>
      <c r="I219" s="35">
        <v>11942.685960000001</v>
      </c>
      <c r="J219" s="35">
        <v>11942.685960000001</v>
      </c>
      <c r="K219" s="35">
        <v>11942.685960000001</v>
      </c>
      <c r="L219" s="35">
        <f t="shared" si="75"/>
        <v>100</v>
      </c>
      <c r="M219" s="35">
        <f t="shared" si="76"/>
        <v>100</v>
      </c>
    </row>
    <row r="220" spans="1:13" s="88" customFormat="1" ht="76.5">
      <c r="A220" s="62" t="s">
        <v>1173</v>
      </c>
      <c r="B220" s="28" t="s">
        <v>15</v>
      </c>
      <c r="C220" s="28" t="s">
        <v>154</v>
      </c>
      <c r="D220" s="28" t="s">
        <v>106</v>
      </c>
      <c r="E220" s="29" t="s">
        <v>1229</v>
      </c>
      <c r="F220" s="28"/>
      <c r="G220" s="35">
        <f>G221</f>
        <v>1839.3</v>
      </c>
      <c r="H220" s="35">
        <f t="shared" ref="H220:K221" si="102">H221</f>
        <v>1839.2782099999999</v>
      </c>
      <c r="I220" s="35">
        <f t="shared" si="102"/>
        <v>0</v>
      </c>
      <c r="J220" s="35">
        <f t="shared" si="102"/>
        <v>0</v>
      </c>
      <c r="K220" s="35">
        <f t="shared" si="102"/>
        <v>0</v>
      </c>
      <c r="L220" s="35">
        <f t="shared" si="75"/>
        <v>0</v>
      </c>
      <c r="M220" s="35">
        <v>0</v>
      </c>
    </row>
    <row r="221" spans="1:13" s="88" customFormat="1">
      <c r="A221" s="62" t="s">
        <v>72</v>
      </c>
      <c r="B221" s="28" t="s">
        <v>15</v>
      </c>
      <c r="C221" s="28" t="s">
        <v>154</v>
      </c>
      <c r="D221" s="28" t="s">
        <v>106</v>
      </c>
      <c r="E221" s="29" t="s">
        <v>1229</v>
      </c>
      <c r="F221" s="28">
        <v>800</v>
      </c>
      <c r="G221" s="35">
        <f>G222</f>
        <v>1839.3</v>
      </c>
      <c r="H221" s="35">
        <f t="shared" si="102"/>
        <v>1839.2782099999999</v>
      </c>
      <c r="I221" s="35">
        <f t="shared" si="102"/>
        <v>0</v>
      </c>
      <c r="J221" s="35">
        <f t="shared" si="102"/>
        <v>0</v>
      </c>
      <c r="K221" s="35">
        <f t="shared" si="102"/>
        <v>0</v>
      </c>
      <c r="L221" s="35">
        <f t="shared" si="75"/>
        <v>0</v>
      </c>
      <c r="M221" s="35">
        <v>0</v>
      </c>
    </row>
    <row r="222" spans="1:13" s="88" customFormat="1">
      <c r="A222" s="62" t="s">
        <v>74</v>
      </c>
      <c r="B222" s="28" t="s">
        <v>15</v>
      </c>
      <c r="C222" s="28" t="s">
        <v>154</v>
      </c>
      <c r="D222" s="28" t="s">
        <v>106</v>
      </c>
      <c r="E222" s="29" t="s">
        <v>1229</v>
      </c>
      <c r="F222" s="28">
        <v>850</v>
      </c>
      <c r="G222" s="35">
        <v>1839.3</v>
      </c>
      <c r="H222" s="35">
        <v>1839.2782099999999</v>
      </c>
      <c r="I222" s="35">
        <v>0</v>
      </c>
      <c r="J222" s="35">
        <v>0</v>
      </c>
      <c r="K222" s="35">
        <v>0</v>
      </c>
      <c r="L222" s="35">
        <f t="shared" si="75"/>
        <v>0</v>
      </c>
      <c r="M222" s="35">
        <v>0</v>
      </c>
    </row>
    <row r="223" spans="1:13">
      <c r="A223" s="64" t="s">
        <v>0</v>
      </c>
      <c r="B223" s="65" t="s">
        <v>0</v>
      </c>
      <c r="C223" s="58" t="s">
        <v>0</v>
      </c>
      <c r="D223" s="58" t="s">
        <v>0</v>
      </c>
      <c r="E223" s="58" t="s">
        <v>0</v>
      </c>
      <c r="F223" s="58" t="s">
        <v>0</v>
      </c>
      <c r="G223" s="66" t="s">
        <v>0</v>
      </c>
      <c r="H223" s="66" t="s">
        <v>0</v>
      </c>
      <c r="I223" s="66" t="s">
        <v>0</v>
      </c>
      <c r="J223" s="66" t="s">
        <v>0</v>
      </c>
      <c r="K223" s="66" t="s">
        <v>0</v>
      </c>
      <c r="L223" s="35"/>
      <c r="M223" s="35"/>
    </row>
    <row r="224" spans="1:13" ht="51">
      <c r="A224" s="56" t="s">
        <v>162</v>
      </c>
      <c r="B224" s="57" t="s">
        <v>163</v>
      </c>
      <c r="C224" s="58" t="s">
        <v>0</v>
      </c>
      <c r="D224" s="58" t="s">
        <v>0</v>
      </c>
      <c r="E224" s="58" t="s">
        <v>0</v>
      </c>
      <c r="F224" s="58" t="s">
        <v>0</v>
      </c>
      <c r="G224" s="30">
        <f>G225+G233+G274++G370</f>
        <v>6513726</v>
      </c>
      <c r="H224" s="30">
        <f>H225+H233+H274++H370</f>
        <v>5831666.3509200001</v>
      </c>
      <c r="I224" s="30">
        <f>I225+I233+I274++I370</f>
        <v>3424276.5295700002</v>
      </c>
      <c r="J224" s="30">
        <f>J225+J233+J274++J370</f>
        <v>3424009.7457500002</v>
      </c>
      <c r="K224" s="30">
        <f>K225+K233+K274++K370</f>
        <v>3375622.0471700002</v>
      </c>
      <c r="L224" s="30">
        <f t="shared" si="75"/>
        <v>57.884348041232911</v>
      </c>
      <c r="M224" s="30">
        <f t="shared" si="76"/>
        <v>98.579131037465899</v>
      </c>
    </row>
    <row r="225" spans="1:13" ht="25.5">
      <c r="A225" s="59" t="s">
        <v>164</v>
      </c>
      <c r="B225" s="28" t="s">
        <v>163</v>
      </c>
      <c r="C225" s="28" t="s">
        <v>150</v>
      </c>
      <c r="D225" s="58" t="s">
        <v>0</v>
      </c>
      <c r="E225" s="58" t="s">
        <v>0</v>
      </c>
      <c r="F225" s="58" t="s">
        <v>0</v>
      </c>
      <c r="G225" s="35">
        <f t="shared" ref="G225:G230" si="103">G226</f>
        <v>292.60000000000002</v>
      </c>
      <c r="H225" s="35">
        <f t="shared" ref="H225:K230" si="104">H226</f>
        <v>292.60000000000002</v>
      </c>
      <c r="I225" s="35">
        <f t="shared" si="104"/>
        <v>132.59735000000001</v>
      </c>
      <c r="J225" s="35">
        <f t="shared" si="104"/>
        <v>132.59735000000001</v>
      </c>
      <c r="K225" s="35">
        <f t="shared" si="104"/>
        <v>106.37468</v>
      </c>
      <c r="L225" s="35">
        <f t="shared" si="75"/>
        <v>36.354982911825012</v>
      </c>
      <c r="M225" s="35">
        <f t="shared" si="76"/>
        <v>80.22383554422467</v>
      </c>
    </row>
    <row r="226" spans="1:13" ht="38.25">
      <c r="A226" s="59" t="s">
        <v>165</v>
      </c>
      <c r="B226" s="28" t="s">
        <v>163</v>
      </c>
      <c r="C226" s="28" t="s">
        <v>150</v>
      </c>
      <c r="D226" s="28" t="s">
        <v>46</v>
      </c>
      <c r="E226" s="58" t="s">
        <v>0</v>
      </c>
      <c r="F226" s="58" t="s">
        <v>0</v>
      </c>
      <c r="G226" s="35">
        <f t="shared" si="103"/>
        <v>292.60000000000002</v>
      </c>
      <c r="H226" s="35">
        <f t="shared" si="104"/>
        <v>292.60000000000002</v>
      </c>
      <c r="I226" s="35">
        <f t="shared" si="104"/>
        <v>132.59735000000001</v>
      </c>
      <c r="J226" s="35">
        <f t="shared" si="104"/>
        <v>132.59735000000001</v>
      </c>
      <c r="K226" s="35">
        <f t="shared" si="104"/>
        <v>106.37468</v>
      </c>
      <c r="L226" s="35">
        <f t="shared" si="75"/>
        <v>36.354982911825012</v>
      </c>
      <c r="M226" s="35">
        <f t="shared" si="76"/>
        <v>80.22383554422467</v>
      </c>
    </row>
    <row r="227" spans="1:13" ht="63.75">
      <c r="A227" s="59" t="s">
        <v>166</v>
      </c>
      <c r="B227" s="28" t="s">
        <v>163</v>
      </c>
      <c r="C227" s="28" t="s">
        <v>150</v>
      </c>
      <c r="D227" s="28" t="s">
        <v>46</v>
      </c>
      <c r="E227" s="28" t="s">
        <v>167</v>
      </c>
      <c r="F227" s="58" t="s">
        <v>0</v>
      </c>
      <c r="G227" s="35">
        <f t="shared" si="103"/>
        <v>292.60000000000002</v>
      </c>
      <c r="H227" s="35">
        <f t="shared" si="104"/>
        <v>292.60000000000002</v>
      </c>
      <c r="I227" s="35">
        <f t="shared" si="104"/>
        <v>132.59735000000001</v>
      </c>
      <c r="J227" s="35">
        <f t="shared" si="104"/>
        <v>132.59735000000001</v>
      </c>
      <c r="K227" s="35">
        <f t="shared" si="104"/>
        <v>106.37468</v>
      </c>
      <c r="L227" s="35">
        <f t="shared" ref="L227:L290" si="105">K227/H227*100</f>
        <v>36.354982911825012</v>
      </c>
      <c r="M227" s="35">
        <f t="shared" ref="M227:M290" si="106">K227/I227*100</f>
        <v>80.22383554422467</v>
      </c>
    </row>
    <row r="228" spans="1:13" ht="63.75">
      <c r="A228" s="59" t="s">
        <v>168</v>
      </c>
      <c r="B228" s="28" t="s">
        <v>163</v>
      </c>
      <c r="C228" s="28" t="s">
        <v>150</v>
      </c>
      <c r="D228" s="28" t="s">
        <v>46</v>
      </c>
      <c r="E228" s="28" t="s">
        <v>169</v>
      </c>
      <c r="F228" s="58" t="s">
        <v>0</v>
      </c>
      <c r="G228" s="35">
        <f t="shared" si="103"/>
        <v>292.60000000000002</v>
      </c>
      <c r="H228" s="35">
        <f t="shared" si="104"/>
        <v>292.60000000000002</v>
      </c>
      <c r="I228" s="35">
        <f t="shared" si="104"/>
        <v>132.59735000000001</v>
      </c>
      <c r="J228" s="35">
        <f t="shared" si="104"/>
        <v>132.59735000000001</v>
      </c>
      <c r="K228" s="35">
        <f t="shared" si="104"/>
        <v>106.37468</v>
      </c>
      <c r="L228" s="35">
        <f t="shared" si="105"/>
        <v>36.354982911825012</v>
      </c>
      <c r="M228" s="35">
        <f t="shared" si="106"/>
        <v>80.22383554422467</v>
      </c>
    </row>
    <row r="229" spans="1:13" ht="51">
      <c r="A229" s="59" t="s">
        <v>170</v>
      </c>
      <c r="B229" s="28" t="s">
        <v>163</v>
      </c>
      <c r="C229" s="28" t="s">
        <v>150</v>
      </c>
      <c r="D229" s="28" t="s">
        <v>46</v>
      </c>
      <c r="E229" s="28" t="s">
        <v>171</v>
      </c>
      <c r="F229" s="58" t="s">
        <v>0</v>
      </c>
      <c r="G229" s="35">
        <f t="shared" si="103"/>
        <v>292.60000000000002</v>
      </c>
      <c r="H229" s="35">
        <f t="shared" si="104"/>
        <v>292.60000000000002</v>
      </c>
      <c r="I229" s="35">
        <f t="shared" si="104"/>
        <v>132.59735000000001</v>
      </c>
      <c r="J229" s="35">
        <f t="shared" si="104"/>
        <v>132.59735000000001</v>
      </c>
      <c r="K229" s="35">
        <f t="shared" si="104"/>
        <v>106.37468</v>
      </c>
      <c r="L229" s="35">
        <f t="shared" si="105"/>
        <v>36.354982911825012</v>
      </c>
      <c r="M229" s="35">
        <f t="shared" si="106"/>
        <v>80.22383554422467</v>
      </c>
    </row>
    <row r="230" spans="1:13" ht="25.5">
      <c r="A230" s="59" t="s">
        <v>64</v>
      </c>
      <c r="B230" s="28" t="s">
        <v>163</v>
      </c>
      <c r="C230" s="28" t="s">
        <v>150</v>
      </c>
      <c r="D230" s="28" t="s">
        <v>46</v>
      </c>
      <c r="E230" s="28" t="s">
        <v>171</v>
      </c>
      <c r="F230" s="28" t="s">
        <v>65</v>
      </c>
      <c r="G230" s="35">
        <f t="shared" si="103"/>
        <v>292.60000000000002</v>
      </c>
      <c r="H230" s="35">
        <f t="shared" si="104"/>
        <v>292.60000000000002</v>
      </c>
      <c r="I230" s="35">
        <f t="shared" si="104"/>
        <v>132.59735000000001</v>
      </c>
      <c r="J230" s="35">
        <f t="shared" si="104"/>
        <v>132.59735000000001</v>
      </c>
      <c r="K230" s="35">
        <f t="shared" si="104"/>
        <v>106.37468</v>
      </c>
      <c r="L230" s="35">
        <f t="shared" si="105"/>
        <v>36.354982911825012</v>
      </c>
      <c r="M230" s="35">
        <f t="shared" si="106"/>
        <v>80.22383554422467</v>
      </c>
    </row>
    <row r="231" spans="1:13" ht="25.5">
      <c r="A231" s="59" t="s">
        <v>172</v>
      </c>
      <c r="B231" s="28" t="s">
        <v>163</v>
      </c>
      <c r="C231" s="28" t="s">
        <v>150</v>
      </c>
      <c r="D231" s="28" t="s">
        <v>46</v>
      </c>
      <c r="E231" s="28" t="s">
        <v>171</v>
      </c>
      <c r="F231" s="28" t="s">
        <v>173</v>
      </c>
      <c r="G231" s="35">
        <v>292.60000000000002</v>
      </c>
      <c r="H231" s="35">
        <v>292.60000000000002</v>
      </c>
      <c r="I231" s="35">
        <v>132.59735000000001</v>
      </c>
      <c r="J231" s="35">
        <v>132.59735000000001</v>
      </c>
      <c r="K231" s="35">
        <v>106.37468</v>
      </c>
      <c r="L231" s="35">
        <f t="shared" si="105"/>
        <v>36.354982911825012</v>
      </c>
      <c r="M231" s="35">
        <f t="shared" si="106"/>
        <v>80.22383554422467</v>
      </c>
    </row>
    <row r="232" spans="1:13">
      <c r="A232" s="60" t="s">
        <v>0</v>
      </c>
      <c r="B232" s="58" t="s">
        <v>0</v>
      </c>
      <c r="C232" s="58" t="s">
        <v>0</v>
      </c>
      <c r="D232" s="58" t="s">
        <v>0</v>
      </c>
      <c r="E232" s="58" t="s">
        <v>0</v>
      </c>
      <c r="F232" s="58" t="s">
        <v>0</v>
      </c>
      <c r="G232" s="61" t="s">
        <v>0</v>
      </c>
      <c r="H232" s="61" t="s">
        <v>0</v>
      </c>
      <c r="I232" s="61" t="s">
        <v>0</v>
      </c>
      <c r="J232" s="61" t="s">
        <v>0</v>
      </c>
      <c r="K232" s="61" t="s">
        <v>0</v>
      </c>
      <c r="L232" s="35"/>
      <c r="M232" s="35"/>
    </row>
    <row r="233" spans="1:13">
      <c r="A233" s="59" t="s">
        <v>30</v>
      </c>
      <c r="B233" s="28" t="s">
        <v>163</v>
      </c>
      <c r="C233" s="28" t="s">
        <v>19</v>
      </c>
      <c r="D233" s="58" t="s">
        <v>0</v>
      </c>
      <c r="E233" s="58" t="s">
        <v>0</v>
      </c>
      <c r="F233" s="58" t="s">
        <v>0</v>
      </c>
      <c r="G233" s="35">
        <f>G234+G258</f>
        <v>118411.70000000001</v>
      </c>
      <c r="H233" s="35">
        <f>H234+H258+H254</f>
        <v>118833.84815999999</v>
      </c>
      <c r="I233" s="35">
        <f t="shared" ref="I233:K233" si="107">I234+I258+I254</f>
        <v>76564.148159999997</v>
      </c>
      <c r="J233" s="35">
        <f t="shared" si="107"/>
        <v>76297.36434</v>
      </c>
      <c r="K233" s="35">
        <f t="shared" si="107"/>
        <v>64014.522649999999</v>
      </c>
      <c r="L233" s="35">
        <f t="shared" si="105"/>
        <v>53.868930141696424</v>
      </c>
      <c r="M233" s="35">
        <f t="shared" si="106"/>
        <v>83.609005243845459</v>
      </c>
    </row>
    <row r="234" spans="1:13">
      <c r="A234" s="59" t="s">
        <v>174</v>
      </c>
      <c r="B234" s="28" t="s">
        <v>163</v>
      </c>
      <c r="C234" s="28" t="s">
        <v>19</v>
      </c>
      <c r="D234" s="28" t="s">
        <v>106</v>
      </c>
      <c r="E234" s="58" t="s">
        <v>0</v>
      </c>
      <c r="F234" s="58" t="s">
        <v>0</v>
      </c>
      <c r="G234" s="35">
        <f>G235+G250</f>
        <v>64080.500000000007</v>
      </c>
      <c r="H234" s="35">
        <f>H235+H250</f>
        <v>64080.5</v>
      </c>
      <c r="I234" s="35">
        <f t="shared" ref="I234:K234" si="108">I235+I250</f>
        <v>48648.800000000003</v>
      </c>
      <c r="J234" s="35">
        <f t="shared" si="108"/>
        <v>48382.016179999999</v>
      </c>
      <c r="K234" s="35">
        <f t="shared" si="108"/>
        <v>41617.313710000002</v>
      </c>
      <c r="L234" s="35">
        <f t="shared" si="105"/>
        <v>64.945363581744843</v>
      </c>
      <c r="M234" s="35">
        <f t="shared" si="106"/>
        <v>85.546434259426746</v>
      </c>
    </row>
    <row r="235" spans="1:13" ht="38.25">
      <c r="A235" s="59" t="s">
        <v>175</v>
      </c>
      <c r="B235" s="28" t="s">
        <v>163</v>
      </c>
      <c r="C235" s="28" t="s">
        <v>19</v>
      </c>
      <c r="D235" s="28" t="s">
        <v>106</v>
      </c>
      <c r="E235" s="28" t="s">
        <v>176</v>
      </c>
      <c r="F235" s="58" t="s">
        <v>0</v>
      </c>
      <c r="G235" s="35">
        <f>G236+G240</f>
        <v>58080.500000000007</v>
      </c>
      <c r="H235" s="35">
        <f t="shared" ref="H235:K235" si="109">H236+H240</f>
        <v>58080.5</v>
      </c>
      <c r="I235" s="35">
        <f t="shared" si="109"/>
        <v>48648.800000000003</v>
      </c>
      <c r="J235" s="35">
        <f t="shared" si="109"/>
        <v>48382.016179999999</v>
      </c>
      <c r="K235" s="35">
        <f t="shared" si="109"/>
        <v>41617.313710000002</v>
      </c>
      <c r="L235" s="35">
        <f t="shared" si="105"/>
        <v>71.654537598677706</v>
      </c>
      <c r="M235" s="35">
        <f t="shared" si="106"/>
        <v>85.546434259426746</v>
      </c>
    </row>
    <row r="236" spans="1:13" ht="38.25">
      <c r="A236" s="59" t="s">
        <v>177</v>
      </c>
      <c r="B236" s="28" t="s">
        <v>163</v>
      </c>
      <c r="C236" s="28" t="s">
        <v>19</v>
      </c>
      <c r="D236" s="28" t="s">
        <v>106</v>
      </c>
      <c r="E236" s="28" t="s">
        <v>178</v>
      </c>
      <c r="F236" s="58" t="s">
        <v>0</v>
      </c>
      <c r="G236" s="35">
        <f>G237</f>
        <v>900</v>
      </c>
      <c r="H236" s="35">
        <f t="shared" ref="H236:K238" si="110">H237</f>
        <v>900</v>
      </c>
      <c r="I236" s="35">
        <f t="shared" si="110"/>
        <v>900</v>
      </c>
      <c r="J236" s="35">
        <f t="shared" si="110"/>
        <v>636.50633000000005</v>
      </c>
      <c r="K236" s="35">
        <f t="shared" si="110"/>
        <v>636.50633000000005</v>
      </c>
      <c r="L236" s="35">
        <f t="shared" si="105"/>
        <v>70.722925555555562</v>
      </c>
      <c r="M236" s="35">
        <f t="shared" si="106"/>
        <v>70.722925555555562</v>
      </c>
    </row>
    <row r="237" spans="1:13" ht="25.5">
      <c r="A237" s="59" t="s">
        <v>179</v>
      </c>
      <c r="B237" s="28" t="s">
        <v>163</v>
      </c>
      <c r="C237" s="28" t="s">
        <v>19</v>
      </c>
      <c r="D237" s="28" t="s">
        <v>106</v>
      </c>
      <c r="E237" s="28" t="s">
        <v>180</v>
      </c>
      <c r="F237" s="58" t="s">
        <v>0</v>
      </c>
      <c r="G237" s="35">
        <f>G238</f>
        <v>900</v>
      </c>
      <c r="H237" s="35">
        <f t="shared" si="110"/>
        <v>900</v>
      </c>
      <c r="I237" s="35">
        <f t="shared" si="110"/>
        <v>900</v>
      </c>
      <c r="J237" s="35">
        <f t="shared" si="110"/>
        <v>636.50633000000005</v>
      </c>
      <c r="K237" s="35">
        <f t="shared" si="110"/>
        <v>636.50633000000005</v>
      </c>
      <c r="L237" s="35">
        <f t="shared" si="105"/>
        <v>70.722925555555562</v>
      </c>
      <c r="M237" s="35">
        <f t="shared" si="106"/>
        <v>70.722925555555562</v>
      </c>
    </row>
    <row r="238" spans="1:13" ht="25.5">
      <c r="A238" s="59" t="s">
        <v>64</v>
      </c>
      <c r="B238" s="28" t="s">
        <v>163</v>
      </c>
      <c r="C238" s="28" t="s">
        <v>19</v>
      </c>
      <c r="D238" s="28" t="s">
        <v>106</v>
      </c>
      <c r="E238" s="28" t="s">
        <v>180</v>
      </c>
      <c r="F238" s="28" t="s">
        <v>65</v>
      </c>
      <c r="G238" s="35">
        <f>G239</f>
        <v>900</v>
      </c>
      <c r="H238" s="35">
        <f t="shared" si="110"/>
        <v>900</v>
      </c>
      <c r="I238" s="35">
        <f t="shared" si="110"/>
        <v>900</v>
      </c>
      <c r="J238" s="35">
        <f t="shared" si="110"/>
        <v>636.50633000000005</v>
      </c>
      <c r="K238" s="35">
        <f t="shared" si="110"/>
        <v>636.50633000000005</v>
      </c>
      <c r="L238" s="35">
        <f t="shared" si="105"/>
        <v>70.722925555555562</v>
      </c>
      <c r="M238" s="35">
        <f t="shared" si="106"/>
        <v>70.722925555555562</v>
      </c>
    </row>
    <row r="239" spans="1:13" ht="25.5">
      <c r="A239" s="59" t="s">
        <v>66</v>
      </c>
      <c r="B239" s="28" t="s">
        <v>163</v>
      </c>
      <c r="C239" s="28" t="s">
        <v>19</v>
      </c>
      <c r="D239" s="28" t="s">
        <v>106</v>
      </c>
      <c r="E239" s="28" t="s">
        <v>180</v>
      </c>
      <c r="F239" s="28" t="s">
        <v>67</v>
      </c>
      <c r="G239" s="35">
        <v>900</v>
      </c>
      <c r="H239" s="35">
        <v>900</v>
      </c>
      <c r="I239" s="35">
        <v>900</v>
      </c>
      <c r="J239" s="35">
        <v>636.50633000000005</v>
      </c>
      <c r="K239" s="35">
        <v>636.50633000000005</v>
      </c>
      <c r="L239" s="35">
        <f t="shared" si="105"/>
        <v>70.722925555555562</v>
      </c>
      <c r="M239" s="35">
        <f t="shared" si="106"/>
        <v>70.722925555555562</v>
      </c>
    </row>
    <row r="240" spans="1:13" ht="38.25">
      <c r="A240" s="59" t="s">
        <v>181</v>
      </c>
      <c r="B240" s="28" t="s">
        <v>163</v>
      </c>
      <c r="C240" s="28" t="s">
        <v>19</v>
      </c>
      <c r="D240" s="28" t="s">
        <v>106</v>
      </c>
      <c r="E240" s="28" t="s">
        <v>182</v>
      </c>
      <c r="F240" s="58" t="s">
        <v>0</v>
      </c>
      <c r="G240" s="35">
        <f>G241</f>
        <v>57180.500000000007</v>
      </c>
      <c r="H240" s="35">
        <f t="shared" ref="H240:K240" si="111">H241</f>
        <v>57180.5</v>
      </c>
      <c r="I240" s="35">
        <f t="shared" si="111"/>
        <v>47748.800000000003</v>
      </c>
      <c r="J240" s="35">
        <f t="shared" si="111"/>
        <v>47745.509850000002</v>
      </c>
      <c r="K240" s="35">
        <f t="shared" si="111"/>
        <v>40980.807380000006</v>
      </c>
      <c r="L240" s="35">
        <f t="shared" si="105"/>
        <v>71.669200828953933</v>
      </c>
      <c r="M240" s="35">
        <f t="shared" si="106"/>
        <v>85.825837256643098</v>
      </c>
    </row>
    <row r="241" spans="1:13" ht="25.5">
      <c r="A241" s="59" t="s">
        <v>58</v>
      </c>
      <c r="B241" s="28" t="s">
        <v>163</v>
      </c>
      <c r="C241" s="28" t="s">
        <v>19</v>
      </c>
      <c r="D241" s="28" t="s">
        <v>106</v>
      </c>
      <c r="E241" s="28" t="s">
        <v>183</v>
      </c>
      <c r="F241" s="58" t="s">
        <v>0</v>
      </c>
      <c r="G241" s="35">
        <f>G242+G244+G246+G248</f>
        <v>57180.500000000007</v>
      </c>
      <c r="H241" s="35">
        <f t="shared" ref="H241:K241" si="112">H242+H244+H246+H248</f>
        <v>57180.5</v>
      </c>
      <c r="I241" s="35">
        <f t="shared" si="112"/>
        <v>47748.800000000003</v>
      </c>
      <c r="J241" s="35">
        <f t="shared" si="112"/>
        <v>47745.509850000002</v>
      </c>
      <c r="K241" s="35">
        <f t="shared" si="112"/>
        <v>40980.807380000006</v>
      </c>
      <c r="L241" s="35">
        <f t="shared" si="105"/>
        <v>71.669200828953933</v>
      </c>
      <c r="M241" s="35">
        <f t="shared" si="106"/>
        <v>85.825837256643098</v>
      </c>
    </row>
    <row r="242" spans="1:13" ht="63.75">
      <c r="A242" s="59" t="s">
        <v>60</v>
      </c>
      <c r="B242" s="28" t="s">
        <v>163</v>
      </c>
      <c r="C242" s="28" t="s">
        <v>19</v>
      </c>
      <c r="D242" s="28" t="s">
        <v>106</v>
      </c>
      <c r="E242" s="28" t="s">
        <v>183</v>
      </c>
      <c r="F242" s="28" t="s">
        <v>61</v>
      </c>
      <c r="G242" s="35">
        <f>G243</f>
        <v>53946.9</v>
      </c>
      <c r="H242" s="35">
        <f t="shared" ref="H242:K242" si="113">H243</f>
        <v>53946.899999999994</v>
      </c>
      <c r="I242" s="35">
        <f t="shared" si="113"/>
        <v>44962</v>
      </c>
      <c r="J242" s="35">
        <f t="shared" si="113"/>
        <v>44962</v>
      </c>
      <c r="K242" s="35">
        <f t="shared" si="113"/>
        <v>39135.364320000001</v>
      </c>
      <c r="L242" s="35">
        <f t="shared" si="105"/>
        <v>72.544232050405128</v>
      </c>
      <c r="M242" s="35">
        <f t="shared" si="106"/>
        <v>87.040977536586453</v>
      </c>
    </row>
    <row r="243" spans="1:13" ht="25.5">
      <c r="A243" s="59" t="s">
        <v>62</v>
      </c>
      <c r="B243" s="28" t="s">
        <v>163</v>
      </c>
      <c r="C243" s="28" t="s">
        <v>19</v>
      </c>
      <c r="D243" s="28" t="s">
        <v>106</v>
      </c>
      <c r="E243" s="28" t="s">
        <v>183</v>
      </c>
      <c r="F243" s="28" t="s">
        <v>63</v>
      </c>
      <c r="G243" s="35">
        <v>53946.9</v>
      </c>
      <c r="H243" s="35">
        <f>41361.6+1175+11410.3</f>
        <v>53946.899999999994</v>
      </c>
      <c r="I243" s="35">
        <f>34000+1175+9787</f>
        <v>44962</v>
      </c>
      <c r="J243" s="35">
        <f>34000+1175+9787</f>
        <v>44962</v>
      </c>
      <c r="K243" s="35">
        <f>29223.64517+1171.28885+8740.4303</f>
        <v>39135.364320000001</v>
      </c>
      <c r="L243" s="35">
        <f t="shared" si="105"/>
        <v>72.544232050405128</v>
      </c>
      <c r="M243" s="35">
        <f t="shared" si="106"/>
        <v>87.040977536586453</v>
      </c>
    </row>
    <row r="244" spans="1:13" ht="25.5">
      <c r="A244" s="59" t="s">
        <v>64</v>
      </c>
      <c r="B244" s="28" t="s">
        <v>163</v>
      </c>
      <c r="C244" s="28" t="s">
        <v>19</v>
      </c>
      <c r="D244" s="28" t="s">
        <v>106</v>
      </c>
      <c r="E244" s="28" t="s">
        <v>183</v>
      </c>
      <c r="F244" s="28" t="s">
        <v>65</v>
      </c>
      <c r="G244" s="35">
        <f>G245</f>
        <v>3181.8</v>
      </c>
      <c r="H244" s="35">
        <f t="shared" ref="H244:K244" si="114">H245</f>
        <v>3181.8</v>
      </c>
      <c r="I244" s="35">
        <f t="shared" si="114"/>
        <v>2735</v>
      </c>
      <c r="J244" s="35">
        <f t="shared" si="114"/>
        <v>2735</v>
      </c>
      <c r="K244" s="35">
        <f t="shared" si="114"/>
        <v>1796.9332099999999</v>
      </c>
      <c r="L244" s="35">
        <f t="shared" si="105"/>
        <v>56.475366459236909</v>
      </c>
      <c r="M244" s="35">
        <f t="shared" si="106"/>
        <v>65.701397074954286</v>
      </c>
    </row>
    <row r="245" spans="1:13" ht="25.5">
      <c r="A245" s="59" t="s">
        <v>66</v>
      </c>
      <c r="B245" s="28" t="s">
        <v>163</v>
      </c>
      <c r="C245" s="28" t="s">
        <v>19</v>
      </c>
      <c r="D245" s="28" t="s">
        <v>106</v>
      </c>
      <c r="E245" s="28" t="s">
        <v>183</v>
      </c>
      <c r="F245" s="28" t="s">
        <v>67</v>
      </c>
      <c r="G245" s="35">
        <v>3181.8</v>
      </c>
      <c r="H245" s="35">
        <v>3181.8</v>
      </c>
      <c r="I245" s="35">
        <v>2735</v>
      </c>
      <c r="J245" s="35">
        <v>2735</v>
      </c>
      <c r="K245" s="35">
        <v>1796.9332099999999</v>
      </c>
      <c r="L245" s="35">
        <f t="shared" si="105"/>
        <v>56.475366459236909</v>
      </c>
      <c r="M245" s="35">
        <f t="shared" si="106"/>
        <v>65.701397074954286</v>
      </c>
    </row>
    <row r="246" spans="1:13">
      <c r="A246" s="59" t="s">
        <v>68</v>
      </c>
      <c r="B246" s="28" t="s">
        <v>163</v>
      </c>
      <c r="C246" s="28" t="s">
        <v>19</v>
      </c>
      <c r="D246" s="28" t="s">
        <v>106</v>
      </c>
      <c r="E246" s="28" t="s">
        <v>183</v>
      </c>
      <c r="F246" s="28" t="s">
        <v>69</v>
      </c>
      <c r="G246" s="35">
        <f>G247</f>
        <v>45</v>
      </c>
      <c r="H246" s="35">
        <f t="shared" ref="H246:K246" si="115">H247</f>
        <v>45</v>
      </c>
      <c r="I246" s="35">
        <f t="shared" si="115"/>
        <v>45</v>
      </c>
      <c r="J246" s="35">
        <f t="shared" si="115"/>
        <v>45</v>
      </c>
      <c r="K246" s="35">
        <f t="shared" si="115"/>
        <v>45</v>
      </c>
      <c r="L246" s="35">
        <f t="shared" si="105"/>
        <v>100</v>
      </c>
      <c r="M246" s="35">
        <f t="shared" si="106"/>
        <v>100</v>
      </c>
    </row>
    <row r="247" spans="1:13">
      <c r="A247" s="59" t="s">
        <v>70</v>
      </c>
      <c r="B247" s="28" t="s">
        <v>163</v>
      </c>
      <c r="C247" s="28" t="s">
        <v>19</v>
      </c>
      <c r="D247" s="28" t="s">
        <v>106</v>
      </c>
      <c r="E247" s="28" t="s">
        <v>183</v>
      </c>
      <c r="F247" s="28" t="s">
        <v>71</v>
      </c>
      <c r="G247" s="35">
        <v>45</v>
      </c>
      <c r="H247" s="35">
        <v>45</v>
      </c>
      <c r="I247" s="35">
        <v>45</v>
      </c>
      <c r="J247" s="35">
        <v>45</v>
      </c>
      <c r="K247" s="35">
        <v>45</v>
      </c>
      <c r="L247" s="35">
        <f t="shared" si="105"/>
        <v>100</v>
      </c>
      <c r="M247" s="35">
        <f t="shared" si="106"/>
        <v>100</v>
      </c>
    </row>
    <row r="248" spans="1:13">
      <c r="A248" s="59" t="s">
        <v>72</v>
      </c>
      <c r="B248" s="28" t="s">
        <v>163</v>
      </c>
      <c r="C248" s="28" t="s">
        <v>19</v>
      </c>
      <c r="D248" s="28" t="s">
        <v>106</v>
      </c>
      <c r="E248" s="28" t="s">
        <v>183</v>
      </c>
      <c r="F248" s="28" t="s">
        <v>73</v>
      </c>
      <c r="G248" s="35">
        <f>G249</f>
        <v>6.8</v>
      </c>
      <c r="H248" s="35">
        <f t="shared" ref="H248:K248" si="116">H249</f>
        <v>6.8000000000000007</v>
      </c>
      <c r="I248" s="35">
        <f t="shared" si="116"/>
        <v>6.8000000000000007</v>
      </c>
      <c r="J248" s="35">
        <f t="shared" si="116"/>
        <v>3.5098500000000001</v>
      </c>
      <c r="K248" s="35">
        <f t="shared" si="116"/>
        <v>3.5098500000000001</v>
      </c>
      <c r="L248" s="35">
        <f t="shared" si="105"/>
        <v>51.61544117647059</v>
      </c>
      <c r="M248" s="35">
        <f t="shared" si="106"/>
        <v>51.61544117647059</v>
      </c>
    </row>
    <row r="249" spans="1:13">
      <c r="A249" s="59" t="s">
        <v>74</v>
      </c>
      <c r="B249" s="28" t="s">
        <v>163</v>
      </c>
      <c r="C249" s="28" t="s">
        <v>19</v>
      </c>
      <c r="D249" s="28" t="s">
        <v>106</v>
      </c>
      <c r="E249" s="28" t="s">
        <v>183</v>
      </c>
      <c r="F249" s="28" t="s">
        <v>75</v>
      </c>
      <c r="G249" s="35">
        <v>6.8</v>
      </c>
      <c r="H249" s="35">
        <f>3.29015+3.50985</f>
        <v>6.8000000000000007</v>
      </c>
      <c r="I249" s="35">
        <f>3.29015+3.50985</f>
        <v>6.8000000000000007</v>
      </c>
      <c r="J249" s="35">
        <v>3.5098500000000001</v>
      </c>
      <c r="K249" s="35">
        <v>3.5098500000000001</v>
      </c>
      <c r="L249" s="35">
        <f t="shared" si="105"/>
        <v>51.61544117647059</v>
      </c>
      <c r="M249" s="35">
        <f t="shared" si="106"/>
        <v>51.61544117647059</v>
      </c>
    </row>
    <row r="250" spans="1:13" ht="38.25">
      <c r="A250" s="59" t="s">
        <v>122</v>
      </c>
      <c r="B250" s="28" t="s">
        <v>163</v>
      </c>
      <c r="C250" s="28" t="s">
        <v>19</v>
      </c>
      <c r="D250" s="28" t="s">
        <v>106</v>
      </c>
      <c r="E250" s="28" t="s">
        <v>123</v>
      </c>
      <c r="F250" s="58" t="s">
        <v>0</v>
      </c>
      <c r="G250" s="35">
        <f>G251</f>
        <v>6000</v>
      </c>
      <c r="H250" s="35">
        <f t="shared" ref="H250:K252" si="117">H251</f>
        <v>6000</v>
      </c>
      <c r="I250" s="35">
        <f t="shared" si="117"/>
        <v>0</v>
      </c>
      <c r="J250" s="35">
        <f t="shared" si="117"/>
        <v>0</v>
      </c>
      <c r="K250" s="35">
        <f t="shared" si="117"/>
        <v>0</v>
      </c>
      <c r="L250" s="35">
        <f t="shared" si="105"/>
        <v>0</v>
      </c>
      <c r="M250" s="35">
        <v>0</v>
      </c>
    </row>
    <row r="251" spans="1:13" ht="63.75">
      <c r="A251" s="59" t="s">
        <v>184</v>
      </c>
      <c r="B251" s="28" t="s">
        <v>163</v>
      </c>
      <c r="C251" s="28" t="s">
        <v>19</v>
      </c>
      <c r="D251" s="28" t="s">
        <v>106</v>
      </c>
      <c r="E251" s="28" t="s">
        <v>185</v>
      </c>
      <c r="F251" s="58" t="s">
        <v>0</v>
      </c>
      <c r="G251" s="35">
        <f>G252</f>
        <v>6000</v>
      </c>
      <c r="H251" s="35">
        <f t="shared" si="117"/>
        <v>6000</v>
      </c>
      <c r="I251" s="35">
        <f t="shared" si="117"/>
        <v>0</v>
      </c>
      <c r="J251" s="35">
        <f t="shared" si="117"/>
        <v>0</v>
      </c>
      <c r="K251" s="35">
        <f t="shared" si="117"/>
        <v>0</v>
      </c>
      <c r="L251" s="35">
        <f t="shared" si="105"/>
        <v>0</v>
      </c>
      <c r="M251" s="35">
        <v>0</v>
      </c>
    </row>
    <row r="252" spans="1:13">
      <c r="A252" s="59" t="s">
        <v>26</v>
      </c>
      <c r="B252" s="28" t="s">
        <v>163</v>
      </c>
      <c r="C252" s="28" t="s">
        <v>19</v>
      </c>
      <c r="D252" s="28" t="s">
        <v>106</v>
      </c>
      <c r="E252" s="28" t="s">
        <v>185</v>
      </c>
      <c r="F252" s="28" t="s">
        <v>27</v>
      </c>
      <c r="G252" s="35">
        <f>G253</f>
        <v>6000</v>
      </c>
      <c r="H252" s="35">
        <f t="shared" si="117"/>
        <v>6000</v>
      </c>
      <c r="I252" s="35">
        <f t="shared" si="117"/>
        <v>0</v>
      </c>
      <c r="J252" s="35">
        <f t="shared" si="117"/>
        <v>0</v>
      </c>
      <c r="K252" s="35">
        <f t="shared" si="117"/>
        <v>0</v>
      </c>
      <c r="L252" s="35">
        <f t="shared" si="105"/>
        <v>0</v>
      </c>
      <c r="M252" s="35">
        <v>0</v>
      </c>
    </row>
    <row r="253" spans="1:13">
      <c r="A253" s="59" t="s">
        <v>56</v>
      </c>
      <c r="B253" s="28" t="s">
        <v>163</v>
      </c>
      <c r="C253" s="28" t="s">
        <v>19</v>
      </c>
      <c r="D253" s="28" t="s">
        <v>106</v>
      </c>
      <c r="E253" s="28" t="s">
        <v>185</v>
      </c>
      <c r="F253" s="28" t="s">
        <v>57</v>
      </c>
      <c r="G253" s="35">
        <v>6000</v>
      </c>
      <c r="H253" s="35">
        <v>6000</v>
      </c>
      <c r="I253" s="35">
        <v>0</v>
      </c>
      <c r="J253" s="35">
        <v>0</v>
      </c>
      <c r="K253" s="35">
        <v>0</v>
      </c>
      <c r="L253" s="35">
        <f t="shared" si="105"/>
        <v>0</v>
      </c>
      <c r="M253" s="35">
        <v>0</v>
      </c>
    </row>
    <row r="254" spans="1:13">
      <c r="A254" s="62" t="s">
        <v>612</v>
      </c>
      <c r="B254" s="28" t="s">
        <v>163</v>
      </c>
      <c r="C254" s="28" t="s">
        <v>19</v>
      </c>
      <c r="D254" s="67" t="s">
        <v>46</v>
      </c>
      <c r="E254" s="29" t="s">
        <v>613</v>
      </c>
      <c r="F254" s="28"/>
      <c r="G254" s="35"/>
      <c r="H254" s="35">
        <f>H255</f>
        <v>422.14816000000002</v>
      </c>
      <c r="I254" s="35">
        <f t="shared" ref="I254:K256" si="118">I255</f>
        <v>422.14816000000002</v>
      </c>
      <c r="J254" s="35">
        <f t="shared" si="118"/>
        <v>422.14816000000002</v>
      </c>
      <c r="K254" s="35">
        <f t="shared" si="118"/>
        <v>422.14816000000002</v>
      </c>
      <c r="L254" s="35">
        <f t="shared" si="105"/>
        <v>100</v>
      </c>
      <c r="M254" s="35">
        <f t="shared" si="106"/>
        <v>100</v>
      </c>
    </row>
    <row r="255" spans="1:13">
      <c r="A255" s="59" t="s">
        <v>612</v>
      </c>
      <c r="B255" s="28" t="s">
        <v>163</v>
      </c>
      <c r="C255" s="28" t="s">
        <v>19</v>
      </c>
      <c r="D255" s="67" t="s">
        <v>46</v>
      </c>
      <c r="E255" s="29" t="s">
        <v>614</v>
      </c>
      <c r="F255" s="28"/>
      <c r="G255" s="35"/>
      <c r="H255" s="35">
        <f>H256</f>
        <v>422.14816000000002</v>
      </c>
      <c r="I255" s="35">
        <f t="shared" si="118"/>
        <v>422.14816000000002</v>
      </c>
      <c r="J255" s="35">
        <f t="shared" si="118"/>
        <v>422.14816000000002</v>
      </c>
      <c r="K255" s="35">
        <f t="shared" si="118"/>
        <v>422.14816000000002</v>
      </c>
      <c r="L255" s="35">
        <f t="shared" si="105"/>
        <v>100</v>
      </c>
      <c r="M255" s="35">
        <f t="shared" si="106"/>
        <v>100</v>
      </c>
    </row>
    <row r="256" spans="1:13">
      <c r="A256" s="59" t="s">
        <v>26</v>
      </c>
      <c r="B256" s="28" t="s">
        <v>163</v>
      </c>
      <c r="C256" s="28" t="s">
        <v>19</v>
      </c>
      <c r="D256" s="67" t="s">
        <v>46</v>
      </c>
      <c r="E256" s="29" t="s">
        <v>614</v>
      </c>
      <c r="F256" s="28">
        <v>500</v>
      </c>
      <c r="G256" s="35"/>
      <c r="H256" s="35">
        <f>H257</f>
        <v>422.14816000000002</v>
      </c>
      <c r="I256" s="35">
        <f t="shared" si="118"/>
        <v>422.14816000000002</v>
      </c>
      <c r="J256" s="35">
        <f t="shared" si="118"/>
        <v>422.14816000000002</v>
      </c>
      <c r="K256" s="35">
        <f t="shared" si="118"/>
        <v>422.14816000000002</v>
      </c>
      <c r="L256" s="35">
        <f t="shared" si="105"/>
        <v>100</v>
      </c>
      <c r="M256" s="35">
        <f t="shared" si="106"/>
        <v>100</v>
      </c>
    </row>
    <row r="257" spans="1:13">
      <c r="A257" s="59" t="s">
        <v>352</v>
      </c>
      <c r="B257" s="28" t="s">
        <v>163</v>
      </c>
      <c r="C257" s="28" t="s">
        <v>19</v>
      </c>
      <c r="D257" s="67" t="s">
        <v>46</v>
      </c>
      <c r="E257" s="29" t="s">
        <v>614</v>
      </c>
      <c r="F257" s="28">
        <v>540</v>
      </c>
      <c r="G257" s="35"/>
      <c r="H257" s="35">
        <v>422.14816000000002</v>
      </c>
      <c r="I257" s="35">
        <v>422.14816000000002</v>
      </c>
      <c r="J257" s="35">
        <v>422.14816000000002</v>
      </c>
      <c r="K257" s="35">
        <v>422.14816000000002</v>
      </c>
      <c r="L257" s="35">
        <f t="shared" si="105"/>
        <v>100</v>
      </c>
      <c r="M257" s="35">
        <f t="shared" si="106"/>
        <v>100</v>
      </c>
    </row>
    <row r="258" spans="1:13">
      <c r="A258" s="59" t="s">
        <v>50</v>
      </c>
      <c r="B258" s="28" t="s">
        <v>163</v>
      </c>
      <c r="C258" s="28" t="s">
        <v>19</v>
      </c>
      <c r="D258" s="28" t="s">
        <v>51</v>
      </c>
      <c r="E258" s="58" t="s">
        <v>0</v>
      </c>
      <c r="F258" s="58" t="s">
        <v>0</v>
      </c>
      <c r="G258" s="35">
        <f>G259+G264</f>
        <v>54331.199999999997</v>
      </c>
      <c r="H258" s="35">
        <f t="shared" ref="H258:K258" si="119">H259+H264</f>
        <v>54331.199999999997</v>
      </c>
      <c r="I258" s="35">
        <f t="shared" si="119"/>
        <v>27493.200000000001</v>
      </c>
      <c r="J258" s="35">
        <f t="shared" si="119"/>
        <v>27493.200000000001</v>
      </c>
      <c r="K258" s="35">
        <f t="shared" si="119"/>
        <v>21975.06078</v>
      </c>
      <c r="L258" s="35">
        <f t="shared" si="105"/>
        <v>40.446485223959719</v>
      </c>
      <c r="M258" s="35">
        <f t="shared" si="106"/>
        <v>79.92907620793504</v>
      </c>
    </row>
    <row r="259" spans="1:13" ht="63.75">
      <c r="A259" s="59" t="s">
        <v>186</v>
      </c>
      <c r="B259" s="28" t="s">
        <v>163</v>
      </c>
      <c r="C259" s="28" t="s">
        <v>19</v>
      </c>
      <c r="D259" s="28" t="s">
        <v>51</v>
      </c>
      <c r="E259" s="28" t="s">
        <v>187</v>
      </c>
      <c r="F259" s="58" t="s">
        <v>0</v>
      </c>
      <c r="G259" s="35">
        <f>G260</f>
        <v>20000</v>
      </c>
      <c r="H259" s="35">
        <f t="shared" ref="H259:K262" si="120">H260</f>
        <v>20000</v>
      </c>
      <c r="I259" s="35">
        <f t="shared" si="120"/>
        <v>0</v>
      </c>
      <c r="J259" s="35">
        <f t="shared" si="120"/>
        <v>0</v>
      </c>
      <c r="K259" s="35">
        <f t="shared" si="120"/>
        <v>0</v>
      </c>
      <c r="L259" s="35">
        <f t="shared" si="105"/>
        <v>0</v>
      </c>
      <c r="M259" s="35">
        <v>0</v>
      </c>
    </row>
    <row r="260" spans="1:13" ht="25.5">
      <c r="A260" s="59" t="s">
        <v>188</v>
      </c>
      <c r="B260" s="28" t="s">
        <v>163</v>
      </c>
      <c r="C260" s="28" t="s">
        <v>19</v>
      </c>
      <c r="D260" s="28" t="s">
        <v>51</v>
      </c>
      <c r="E260" s="28" t="s">
        <v>189</v>
      </c>
      <c r="F260" s="58" t="s">
        <v>0</v>
      </c>
      <c r="G260" s="35">
        <f>G261</f>
        <v>20000</v>
      </c>
      <c r="H260" s="35">
        <f t="shared" si="120"/>
        <v>20000</v>
      </c>
      <c r="I260" s="35">
        <f t="shared" si="120"/>
        <v>0</v>
      </c>
      <c r="J260" s="35">
        <f t="shared" si="120"/>
        <v>0</v>
      </c>
      <c r="K260" s="35">
        <f t="shared" si="120"/>
        <v>0</v>
      </c>
      <c r="L260" s="35">
        <f t="shared" si="105"/>
        <v>0</v>
      </c>
      <c r="M260" s="35">
        <v>0</v>
      </c>
    </row>
    <row r="261" spans="1:13" ht="25.5">
      <c r="A261" s="59" t="s">
        <v>190</v>
      </c>
      <c r="B261" s="28" t="s">
        <v>163</v>
      </c>
      <c r="C261" s="28" t="s">
        <v>19</v>
      </c>
      <c r="D261" s="28" t="s">
        <v>51</v>
      </c>
      <c r="E261" s="28" t="s">
        <v>191</v>
      </c>
      <c r="F261" s="58" t="s">
        <v>0</v>
      </c>
      <c r="G261" s="35">
        <f>G262</f>
        <v>20000</v>
      </c>
      <c r="H261" s="35">
        <f t="shared" si="120"/>
        <v>20000</v>
      </c>
      <c r="I261" s="35">
        <f t="shared" si="120"/>
        <v>0</v>
      </c>
      <c r="J261" s="35">
        <f t="shared" si="120"/>
        <v>0</v>
      </c>
      <c r="K261" s="35">
        <f t="shared" si="120"/>
        <v>0</v>
      </c>
      <c r="L261" s="35">
        <f t="shared" si="105"/>
        <v>0</v>
      </c>
      <c r="M261" s="35">
        <v>0</v>
      </c>
    </row>
    <row r="262" spans="1:13">
      <c r="A262" s="59" t="s">
        <v>26</v>
      </c>
      <c r="B262" s="28" t="s">
        <v>163</v>
      </c>
      <c r="C262" s="28" t="s">
        <v>19</v>
      </c>
      <c r="D262" s="28" t="s">
        <v>51</v>
      </c>
      <c r="E262" s="28" t="s">
        <v>191</v>
      </c>
      <c r="F262" s="28" t="s">
        <v>27</v>
      </c>
      <c r="G262" s="35">
        <f>G263</f>
        <v>20000</v>
      </c>
      <c r="H262" s="35">
        <f t="shared" si="120"/>
        <v>20000</v>
      </c>
      <c r="I262" s="35">
        <f t="shared" si="120"/>
        <v>0</v>
      </c>
      <c r="J262" s="35">
        <f t="shared" si="120"/>
        <v>0</v>
      </c>
      <c r="K262" s="35">
        <f t="shared" si="120"/>
        <v>0</v>
      </c>
      <c r="L262" s="35">
        <f t="shared" si="105"/>
        <v>0</v>
      </c>
      <c r="M262" s="35">
        <v>0</v>
      </c>
    </row>
    <row r="263" spans="1:13">
      <c r="A263" s="59" t="s">
        <v>56</v>
      </c>
      <c r="B263" s="28" t="s">
        <v>163</v>
      </c>
      <c r="C263" s="28" t="s">
        <v>19</v>
      </c>
      <c r="D263" s="28" t="s">
        <v>51</v>
      </c>
      <c r="E263" s="28" t="s">
        <v>191</v>
      </c>
      <c r="F263" s="28" t="s">
        <v>57</v>
      </c>
      <c r="G263" s="35">
        <v>20000</v>
      </c>
      <c r="H263" s="35">
        <v>20000</v>
      </c>
      <c r="I263" s="35">
        <v>0</v>
      </c>
      <c r="J263" s="35">
        <v>0</v>
      </c>
      <c r="K263" s="35">
        <v>0</v>
      </c>
      <c r="L263" s="35">
        <f t="shared" si="105"/>
        <v>0</v>
      </c>
      <c r="M263" s="35">
        <v>0</v>
      </c>
    </row>
    <row r="264" spans="1:13" ht="38.25">
      <c r="A264" s="59" t="s">
        <v>175</v>
      </c>
      <c r="B264" s="28" t="s">
        <v>163</v>
      </c>
      <c r="C264" s="28" t="s">
        <v>19</v>
      </c>
      <c r="D264" s="28" t="s">
        <v>51</v>
      </c>
      <c r="E264" s="28" t="s">
        <v>176</v>
      </c>
      <c r="F264" s="58" t="s">
        <v>0</v>
      </c>
      <c r="G264" s="35">
        <f>G265</f>
        <v>34331.199999999997</v>
      </c>
      <c r="H264" s="35">
        <f t="shared" ref="H264:K265" si="121">H265</f>
        <v>34331.199999999997</v>
      </c>
      <c r="I264" s="35">
        <f t="shared" si="121"/>
        <v>27493.200000000001</v>
      </c>
      <c r="J264" s="35">
        <f t="shared" si="121"/>
        <v>27493.200000000001</v>
      </c>
      <c r="K264" s="35">
        <f t="shared" si="121"/>
        <v>21975.06078</v>
      </c>
      <c r="L264" s="35">
        <f t="shared" si="105"/>
        <v>64.009008656848593</v>
      </c>
      <c r="M264" s="35">
        <f t="shared" si="106"/>
        <v>79.92907620793504</v>
      </c>
    </row>
    <row r="265" spans="1:13" ht="38.25">
      <c r="A265" s="59" t="s">
        <v>181</v>
      </c>
      <c r="B265" s="28" t="s">
        <v>163</v>
      </c>
      <c r="C265" s="28" t="s">
        <v>19</v>
      </c>
      <c r="D265" s="28" t="s">
        <v>51</v>
      </c>
      <c r="E265" s="28" t="s">
        <v>182</v>
      </c>
      <c r="F265" s="58" t="s">
        <v>0</v>
      </c>
      <c r="G265" s="35">
        <f>G266</f>
        <v>34331.199999999997</v>
      </c>
      <c r="H265" s="35">
        <f t="shared" si="121"/>
        <v>34331.199999999997</v>
      </c>
      <c r="I265" s="35">
        <f t="shared" si="121"/>
        <v>27493.200000000001</v>
      </c>
      <c r="J265" s="35">
        <f t="shared" si="121"/>
        <v>27493.200000000001</v>
      </c>
      <c r="K265" s="35">
        <f t="shared" si="121"/>
        <v>21975.06078</v>
      </c>
      <c r="L265" s="35">
        <f t="shared" si="105"/>
        <v>64.009008656848593</v>
      </c>
      <c r="M265" s="35">
        <f t="shared" si="106"/>
        <v>79.92907620793504</v>
      </c>
    </row>
    <row r="266" spans="1:13" ht="25.5">
      <c r="A266" s="59" t="s">
        <v>76</v>
      </c>
      <c r="B266" s="28" t="s">
        <v>163</v>
      </c>
      <c r="C266" s="28" t="s">
        <v>19</v>
      </c>
      <c r="D266" s="28" t="s">
        <v>51</v>
      </c>
      <c r="E266" s="28" t="s">
        <v>192</v>
      </c>
      <c r="F266" s="58" t="s">
        <v>0</v>
      </c>
      <c r="G266" s="35">
        <f>G267+G269+G271</f>
        <v>34331.199999999997</v>
      </c>
      <c r="H266" s="35">
        <f t="shared" ref="H266:K266" si="122">H267+H269+H271</f>
        <v>34331.199999999997</v>
      </c>
      <c r="I266" s="35">
        <f t="shared" si="122"/>
        <v>27493.200000000001</v>
      </c>
      <c r="J266" s="35">
        <f t="shared" si="122"/>
        <v>27493.200000000001</v>
      </c>
      <c r="K266" s="35">
        <f t="shared" si="122"/>
        <v>21975.06078</v>
      </c>
      <c r="L266" s="35">
        <f t="shared" si="105"/>
        <v>64.009008656848593</v>
      </c>
      <c r="M266" s="35">
        <f t="shared" si="106"/>
        <v>79.92907620793504</v>
      </c>
    </row>
    <row r="267" spans="1:13" ht="63.75">
      <c r="A267" s="59" t="s">
        <v>60</v>
      </c>
      <c r="B267" s="28" t="s">
        <v>163</v>
      </c>
      <c r="C267" s="28" t="s">
        <v>19</v>
      </c>
      <c r="D267" s="28" t="s">
        <v>51</v>
      </c>
      <c r="E267" s="28" t="s">
        <v>192</v>
      </c>
      <c r="F267" s="28" t="s">
        <v>61</v>
      </c>
      <c r="G267" s="35">
        <f>G268</f>
        <v>32198.2</v>
      </c>
      <c r="H267" s="35">
        <f t="shared" ref="H267:K267" si="123">H268</f>
        <v>32198.199999999997</v>
      </c>
      <c r="I267" s="35">
        <f t="shared" si="123"/>
        <v>26000</v>
      </c>
      <c r="J267" s="35">
        <f t="shared" si="123"/>
        <v>26000</v>
      </c>
      <c r="K267" s="35">
        <f t="shared" si="123"/>
        <v>20774.540199999999</v>
      </c>
      <c r="L267" s="35">
        <f t="shared" si="105"/>
        <v>64.520812343547163</v>
      </c>
      <c r="M267" s="35">
        <f t="shared" si="106"/>
        <v>79.902077692307699</v>
      </c>
    </row>
    <row r="268" spans="1:13">
      <c r="A268" s="59" t="s">
        <v>78</v>
      </c>
      <c r="B268" s="28" t="s">
        <v>163</v>
      </c>
      <c r="C268" s="28" t="s">
        <v>19</v>
      </c>
      <c r="D268" s="28" t="s">
        <v>51</v>
      </c>
      <c r="E268" s="28" t="s">
        <v>192</v>
      </c>
      <c r="F268" s="28" t="s">
        <v>79</v>
      </c>
      <c r="G268" s="35">
        <v>32198.2</v>
      </c>
      <c r="H268" s="35">
        <f>25385.8+610.3+6202.1</f>
        <v>32198.199999999997</v>
      </c>
      <c r="I268" s="35">
        <f>20100+550.3+5349.7</f>
        <v>26000</v>
      </c>
      <c r="J268" s="35">
        <f>20100+550.3+5349.7</f>
        <v>26000</v>
      </c>
      <c r="K268" s="35">
        <f>16055.94494+342.886+4375.70926</f>
        <v>20774.540199999999</v>
      </c>
      <c r="L268" s="35">
        <f t="shared" si="105"/>
        <v>64.520812343547163</v>
      </c>
      <c r="M268" s="35">
        <f t="shared" si="106"/>
        <v>79.902077692307699</v>
      </c>
    </row>
    <row r="269" spans="1:13" ht="25.5">
      <c r="A269" s="59" t="s">
        <v>64</v>
      </c>
      <c r="B269" s="28" t="s">
        <v>163</v>
      </c>
      <c r="C269" s="28" t="s">
        <v>19</v>
      </c>
      <c r="D269" s="28" t="s">
        <v>51</v>
      </c>
      <c r="E269" s="28" t="s">
        <v>192</v>
      </c>
      <c r="F269" s="28" t="s">
        <v>65</v>
      </c>
      <c r="G269" s="35">
        <f>G270</f>
        <v>1946.8</v>
      </c>
      <c r="H269" s="35">
        <f t="shared" ref="H269:K269" si="124">H270</f>
        <v>1946.8</v>
      </c>
      <c r="I269" s="35">
        <f t="shared" si="124"/>
        <v>1470</v>
      </c>
      <c r="J269" s="35">
        <f t="shared" si="124"/>
        <v>1470</v>
      </c>
      <c r="K269" s="35">
        <f t="shared" si="124"/>
        <v>1186.3625</v>
      </c>
      <c r="L269" s="35">
        <f t="shared" si="105"/>
        <v>60.939105198274092</v>
      </c>
      <c r="M269" s="35">
        <f t="shared" si="106"/>
        <v>80.704931972789112</v>
      </c>
    </row>
    <row r="270" spans="1:13" ht="25.5">
      <c r="A270" s="59" t="s">
        <v>66</v>
      </c>
      <c r="B270" s="28" t="s">
        <v>163</v>
      </c>
      <c r="C270" s="28" t="s">
        <v>19</v>
      </c>
      <c r="D270" s="28" t="s">
        <v>51</v>
      </c>
      <c r="E270" s="28" t="s">
        <v>192</v>
      </c>
      <c r="F270" s="28" t="s">
        <v>67</v>
      </c>
      <c r="G270" s="35">
        <v>1946.8</v>
      </c>
      <c r="H270" s="35">
        <v>1946.8</v>
      </c>
      <c r="I270" s="35">
        <v>1470</v>
      </c>
      <c r="J270" s="35">
        <v>1470</v>
      </c>
      <c r="K270" s="35">
        <v>1186.3625</v>
      </c>
      <c r="L270" s="35">
        <f t="shared" si="105"/>
        <v>60.939105198274092</v>
      </c>
      <c r="M270" s="35">
        <f t="shared" si="106"/>
        <v>80.704931972789112</v>
      </c>
    </row>
    <row r="271" spans="1:13">
      <c r="A271" s="59" t="s">
        <v>72</v>
      </c>
      <c r="B271" s="28" t="s">
        <v>163</v>
      </c>
      <c r="C271" s="28" t="s">
        <v>19</v>
      </c>
      <c r="D271" s="28" t="s">
        <v>51</v>
      </c>
      <c r="E271" s="28" t="s">
        <v>192</v>
      </c>
      <c r="F271" s="28" t="s">
        <v>73</v>
      </c>
      <c r="G271" s="35">
        <f>G272</f>
        <v>186.2</v>
      </c>
      <c r="H271" s="35">
        <f t="shared" ref="H271:K271" si="125">H272</f>
        <v>186.2</v>
      </c>
      <c r="I271" s="35">
        <f t="shared" si="125"/>
        <v>23.2</v>
      </c>
      <c r="J271" s="35">
        <f t="shared" si="125"/>
        <v>23.2</v>
      </c>
      <c r="K271" s="35">
        <f t="shared" si="125"/>
        <v>14.15808</v>
      </c>
      <c r="L271" s="35">
        <f t="shared" si="105"/>
        <v>7.6036949516648775</v>
      </c>
      <c r="M271" s="35">
        <f t="shared" si="106"/>
        <v>61.026206896551727</v>
      </c>
    </row>
    <row r="272" spans="1:13">
      <c r="A272" s="59" t="s">
        <v>74</v>
      </c>
      <c r="B272" s="28" t="s">
        <v>163</v>
      </c>
      <c r="C272" s="28" t="s">
        <v>19</v>
      </c>
      <c r="D272" s="28" t="s">
        <v>51</v>
      </c>
      <c r="E272" s="28" t="s">
        <v>192</v>
      </c>
      <c r="F272" s="28" t="s">
        <v>75</v>
      </c>
      <c r="G272" s="35">
        <v>186.2</v>
      </c>
      <c r="H272" s="35">
        <f>125+15+46.2</f>
        <v>186.2</v>
      </c>
      <c r="I272" s="35">
        <f>7+11+5.2</f>
        <v>23.2</v>
      </c>
      <c r="J272" s="35">
        <f>7+11+5.2</f>
        <v>23.2</v>
      </c>
      <c r="K272" s="35">
        <f>7+6.15+1.00808</f>
        <v>14.15808</v>
      </c>
      <c r="L272" s="35">
        <f t="shared" si="105"/>
        <v>7.6036949516648775</v>
      </c>
      <c r="M272" s="35">
        <f t="shared" si="106"/>
        <v>61.026206896551727</v>
      </c>
    </row>
    <row r="273" spans="1:13">
      <c r="A273" s="60" t="s">
        <v>0</v>
      </c>
      <c r="B273" s="58" t="s">
        <v>0</v>
      </c>
      <c r="C273" s="58" t="s">
        <v>0</v>
      </c>
      <c r="D273" s="58" t="s">
        <v>0</v>
      </c>
      <c r="E273" s="58" t="s">
        <v>0</v>
      </c>
      <c r="F273" s="58" t="s">
        <v>0</v>
      </c>
      <c r="G273" s="61" t="s">
        <v>0</v>
      </c>
      <c r="H273" s="61" t="s">
        <v>0</v>
      </c>
      <c r="I273" s="61" t="s">
        <v>0</v>
      </c>
      <c r="J273" s="61" t="s">
        <v>0</v>
      </c>
      <c r="K273" s="61" t="s">
        <v>0</v>
      </c>
      <c r="L273" s="35"/>
      <c r="M273" s="35"/>
    </row>
    <row r="274" spans="1:13">
      <c r="A274" s="59" t="s">
        <v>92</v>
      </c>
      <c r="B274" s="28" t="s">
        <v>163</v>
      </c>
      <c r="C274" s="28" t="s">
        <v>93</v>
      </c>
      <c r="D274" s="58" t="s">
        <v>0</v>
      </c>
      <c r="E274" s="58" t="s">
        <v>0</v>
      </c>
      <c r="F274" s="58" t="s">
        <v>0</v>
      </c>
      <c r="G274" s="35">
        <f>G275+G320</f>
        <v>6292128</v>
      </c>
      <c r="H274" s="35">
        <f>H275+H320+H359+H364</f>
        <v>5609646.2027599998</v>
      </c>
      <c r="I274" s="35">
        <f>I275+I320+I359+I364</f>
        <v>3244686.1634600004</v>
      </c>
      <c r="J274" s="35">
        <f t="shared" ref="J274:K274" si="126">J275+J320+J359+J364</f>
        <v>3244686.1634600004</v>
      </c>
      <c r="K274" s="35">
        <f t="shared" si="126"/>
        <v>3212815.1942400001</v>
      </c>
      <c r="L274" s="35">
        <f t="shared" si="105"/>
        <v>57.273045003431136</v>
      </c>
      <c r="M274" s="35">
        <f t="shared" si="106"/>
        <v>99.017748786341343</v>
      </c>
    </row>
    <row r="275" spans="1:13">
      <c r="A275" s="59" t="s">
        <v>94</v>
      </c>
      <c r="B275" s="28" t="s">
        <v>163</v>
      </c>
      <c r="C275" s="28" t="s">
        <v>93</v>
      </c>
      <c r="D275" s="28" t="s">
        <v>17</v>
      </c>
      <c r="E275" s="58" t="s">
        <v>0</v>
      </c>
      <c r="F275" s="58" t="s">
        <v>0</v>
      </c>
      <c r="G275" s="35">
        <f>G276+G290++G316</f>
        <v>3216207.2</v>
      </c>
      <c r="H275" s="35">
        <f t="shared" ref="H275:K275" si="127">H276+H290++H316</f>
        <v>2498930.7540499996</v>
      </c>
      <c r="I275" s="35">
        <f t="shared" si="127"/>
        <v>750015.00506</v>
      </c>
      <c r="J275" s="35">
        <f t="shared" si="127"/>
        <v>750015.00506</v>
      </c>
      <c r="K275" s="35">
        <f t="shared" si="127"/>
        <v>720808.75113999995</v>
      </c>
      <c r="L275" s="35">
        <f t="shared" si="105"/>
        <v>28.84468687144653</v>
      </c>
      <c r="M275" s="35">
        <f t="shared" si="106"/>
        <v>96.105910718724402</v>
      </c>
    </row>
    <row r="276" spans="1:13" ht="38.25">
      <c r="A276" s="59" t="s">
        <v>175</v>
      </c>
      <c r="B276" s="28" t="s">
        <v>163</v>
      </c>
      <c r="C276" s="28" t="s">
        <v>93</v>
      </c>
      <c r="D276" s="28" t="s">
        <v>17</v>
      </c>
      <c r="E276" s="28" t="s">
        <v>176</v>
      </c>
      <c r="F276" s="58" t="s">
        <v>0</v>
      </c>
      <c r="G276" s="35">
        <f>G277</f>
        <v>106013.2</v>
      </c>
      <c r="H276" s="35">
        <f t="shared" ref="H276:K276" si="128">H277</f>
        <v>106013.20793999999</v>
      </c>
      <c r="I276" s="35">
        <f t="shared" si="128"/>
        <v>47190.5</v>
      </c>
      <c r="J276" s="35">
        <f t="shared" si="128"/>
        <v>47190.5</v>
      </c>
      <c r="K276" s="35">
        <f t="shared" si="128"/>
        <v>47190.5</v>
      </c>
      <c r="L276" s="35">
        <f t="shared" si="105"/>
        <v>44.513793061245991</v>
      </c>
      <c r="M276" s="35">
        <f t="shared" si="106"/>
        <v>100</v>
      </c>
    </row>
    <row r="277" spans="1:13" ht="38.25">
      <c r="A277" s="59" t="s">
        <v>181</v>
      </c>
      <c r="B277" s="28" t="s">
        <v>163</v>
      </c>
      <c r="C277" s="28" t="s">
        <v>93</v>
      </c>
      <c r="D277" s="28" t="s">
        <v>17</v>
      </c>
      <c r="E277" s="28" t="s">
        <v>182</v>
      </c>
      <c r="F277" s="58" t="s">
        <v>0</v>
      </c>
      <c r="G277" s="35">
        <f>G278+G281+G284+G287</f>
        <v>106013.2</v>
      </c>
      <c r="H277" s="35">
        <f t="shared" ref="H277:K277" si="129">H278+H281+H284+H287</f>
        <v>106013.20793999999</v>
      </c>
      <c r="I277" s="35">
        <f t="shared" si="129"/>
        <v>47190.5</v>
      </c>
      <c r="J277" s="35">
        <f t="shared" si="129"/>
        <v>47190.5</v>
      </c>
      <c r="K277" s="35">
        <f t="shared" si="129"/>
        <v>47190.5</v>
      </c>
      <c r="L277" s="35">
        <f t="shared" si="105"/>
        <v>44.513793061245991</v>
      </c>
      <c r="M277" s="35">
        <f t="shared" si="106"/>
        <v>100</v>
      </c>
    </row>
    <row r="278" spans="1:13" ht="25.5">
      <c r="A278" s="59" t="s">
        <v>76</v>
      </c>
      <c r="B278" s="28" t="s">
        <v>163</v>
      </c>
      <c r="C278" s="28" t="s">
        <v>93</v>
      </c>
      <c r="D278" s="28" t="s">
        <v>17</v>
      </c>
      <c r="E278" s="28" t="s">
        <v>192</v>
      </c>
      <c r="F278" s="58" t="s">
        <v>0</v>
      </c>
      <c r="G278" s="35">
        <f>G279</f>
        <v>400</v>
      </c>
      <c r="H278" s="35">
        <f t="shared" ref="H278:K279" si="130">H279</f>
        <v>400</v>
      </c>
      <c r="I278" s="35">
        <f t="shared" si="130"/>
        <v>300</v>
      </c>
      <c r="J278" s="35">
        <f t="shared" si="130"/>
        <v>300</v>
      </c>
      <c r="K278" s="35">
        <f t="shared" si="130"/>
        <v>300</v>
      </c>
      <c r="L278" s="35">
        <f t="shared" si="105"/>
        <v>75</v>
      </c>
      <c r="M278" s="35">
        <f t="shared" si="106"/>
        <v>100</v>
      </c>
    </row>
    <row r="279" spans="1:13" ht="25.5">
      <c r="A279" s="59" t="s">
        <v>80</v>
      </c>
      <c r="B279" s="28" t="s">
        <v>163</v>
      </c>
      <c r="C279" s="28" t="s">
        <v>93</v>
      </c>
      <c r="D279" s="28" t="s">
        <v>17</v>
      </c>
      <c r="E279" s="28" t="s">
        <v>192</v>
      </c>
      <c r="F279" s="28" t="s">
        <v>81</v>
      </c>
      <c r="G279" s="35">
        <f>G280</f>
        <v>400</v>
      </c>
      <c r="H279" s="35">
        <f t="shared" si="130"/>
        <v>400</v>
      </c>
      <c r="I279" s="35">
        <f t="shared" si="130"/>
        <v>300</v>
      </c>
      <c r="J279" s="35">
        <f t="shared" si="130"/>
        <v>300</v>
      </c>
      <c r="K279" s="35">
        <f t="shared" si="130"/>
        <v>300</v>
      </c>
      <c r="L279" s="35">
        <f t="shared" si="105"/>
        <v>75</v>
      </c>
      <c r="M279" s="35">
        <f t="shared" si="106"/>
        <v>100</v>
      </c>
    </row>
    <row r="280" spans="1:13">
      <c r="A280" s="59" t="s">
        <v>82</v>
      </c>
      <c r="B280" s="28" t="s">
        <v>163</v>
      </c>
      <c r="C280" s="28" t="s">
        <v>93</v>
      </c>
      <c r="D280" s="28" t="s">
        <v>17</v>
      </c>
      <c r="E280" s="28" t="s">
        <v>192</v>
      </c>
      <c r="F280" s="28" t="s">
        <v>83</v>
      </c>
      <c r="G280" s="35">
        <v>400</v>
      </c>
      <c r="H280" s="35">
        <v>400</v>
      </c>
      <c r="I280" s="35">
        <v>300</v>
      </c>
      <c r="J280" s="35">
        <v>300</v>
      </c>
      <c r="K280" s="35">
        <v>300</v>
      </c>
      <c r="L280" s="35">
        <f t="shared" si="105"/>
        <v>75</v>
      </c>
      <c r="M280" s="35">
        <f t="shared" si="106"/>
        <v>100</v>
      </c>
    </row>
    <row r="281" spans="1:13" ht="38.25">
      <c r="A281" s="59" t="s">
        <v>193</v>
      </c>
      <c r="B281" s="28" t="s">
        <v>163</v>
      </c>
      <c r="C281" s="28" t="s">
        <v>93</v>
      </c>
      <c r="D281" s="28" t="s">
        <v>17</v>
      </c>
      <c r="E281" s="28" t="s">
        <v>194</v>
      </c>
      <c r="F281" s="58" t="s">
        <v>0</v>
      </c>
      <c r="G281" s="35">
        <f>G282</f>
        <v>1854</v>
      </c>
      <c r="H281" s="35">
        <f t="shared" ref="H281:K282" si="131">H282</f>
        <v>1854</v>
      </c>
      <c r="I281" s="35">
        <f t="shared" si="131"/>
        <v>1390.5</v>
      </c>
      <c r="J281" s="35">
        <f t="shared" si="131"/>
        <v>1390.5</v>
      </c>
      <c r="K281" s="35">
        <f t="shared" si="131"/>
        <v>1390.5</v>
      </c>
      <c r="L281" s="35">
        <f t="shared" si="105"/>
        <v>75</v>
      </c>
      <c r="M281" s="35">
        <f t="shared" si="106"/>
        <v>100</v>
      </c>
    </row>
    <row r="282" spans="1:13" ht="25.5">
      <c r="A282" s="59" t="s">
        <v>80</v>
      </c>
      <c r="B282" s="28" t="s">
        <v>163</v>
      </c>
      <c r="C282" s="28" t="s">
        <v>93</v>
      </c>
      <c r="D282" s="28" t="s">
        <v>17</v>
      </c>
      <c r="E282" s="28" t="s">
        <v>194</v>
      </c>
      <c r="F282" s="28" t="s">
        <v>81</v>
      </c>
      <c r="G282" s="35">
        <f>G283</f>
        <v>1854</v>
      </c>
      <c r="H282" s="35">
        <f t="shared" si="131"/>
        <v>1854</v>
      </c>
      <c r="I282" s="35">
        <f t="shared" si="131"/>
        <v>1390.5</v>
      </c>
      <c r="J282" s="35">
        <f t="shared" si="131"/>
        <v>1390.5</v>
      </c>
      <c r="K282" s="35">
        <f t="shared" si="131"/>
        <v>1390.5</v>
      </c>
      <c r="L282" s="35">
        <f t="shared" si="105"/>
        <v>75</v>
      </c>
      <c r="M282" s="35">
        <f t="shared" si="106"/>
        <v>100</v>
      </c>
    </row>
    <row r="283" spans="1:13" ht="38.25">
      <c r="A283" s="59" t="s">
        <v>195</v>
      </c>
      <c r="B283" s="28" t="s">
        <v>163</v>
      </c>
      <c r="C283" s="28" t="s">
        <v>93</v>
      </c>
      <c r="D283" s="28" t="s">
        <v>17</v>
      </c>
      <c r="E283" s="28" t="s">
        <v>194</v>
      </c>
      <c r="F283" s="28" t="s">
        <v>196</v>
      </c>
      <c r="G283" s="35">
        <v>1854</v>
      </c>
      <c r="H283" s="35">
        <v>1854</v>
      </c>
      <c r="I283" s="35">
        <v>1390.5</v>
      </c>
      <c r="J283" s="35">
        <v>1390.5</v>
      </c>
      <c r="K283" s="35">
        <v>1390.5</v>
      </c>
      <c r="L283" s="35">
        <f t="shared" si="105"/>
        <v>75</v>
      </c>
      <c r="M283" s="35">
        <f t="shared" si="106"/>
        <v>100</v>
      </c>
    </row>
    <row r="284" spans="1:13" ht="38.25">
      <c r="A284" s="59" t="s">
        <v>197</v>
      </c>
      <c r="B284" s="28" t="s">
        <v>163</v>
      </c>
      <c r="C284" s="28" t="s">
        <v>93</v>
      </c>
      <c r="D284" s="28" t="s">
        <v>17</v>
      </c>
      <c r="E284" s="28" t="s">
        <v>198</v>
      </c>
      <c r="F284" s="58" t="s">
        <v>0</v>
      </c>
      <c r="G284" s="35">
        <f>G285</f>
        <v>66525.2</v>
      </c>
      <c r="H284" s="35">
        <f t="shared" ref="H284:K285" si="132">H285</f>
        <v>66525.207939999993</v>
      </c>
      <c r="I284" s="35">
        <f t="shared" si="132"/>
        <v>45500</v>
      </c>
      <c r="J284" s="35">
        <f t="shared" si="132"/>
        <v>45500</v>
      </c>
      <c r="K284" s="35">
        <f t="shared" si="132"/>
        <v>45500</v>
      </c>
      <c r="L284" s="35">
        <f t="shared" si="105"/>
        <v>68.395126312174909</v>
      </c>
      <c r="M284" s="35">
        <f t="shared" si="106"/>
        <v>100</v>
      </c>
    </row>
    <row r="285" spans="1:13" ht="25.5">
      <c r="A285" s="59" t="s">
        <v>80</v>
      </c>
      <c r="B285" s="28" t="s">
        <v>163</v>
      </c>
      <c r="C285" s="28" t="s">
        <v>93</v>
      </c>
      <c r="D285" s="28" t="s">
        <v>17</v>
      </c>
      <c r="E285" s="28" t="s">
        <v>198</v>
      </c>
      <c r="F285" s="28" t="s">
        <v>81</v>
      </c>
      <c r="G285" s="35">
        <f>G286</f>
        <v>66525.2</v>
      </c>
      <c r="H285" s="35">
        <f t="shared" si="132"/>
        <v>66525.207939999993</v>
      </c>
      <c r="I285" s="35">
        <f t="shared" si="132"/>
        <v>45500</v>
      </c>
      <c r="J285" s="35">
        <f t="shared" si="132"/>
        <v>45500</v>
      </c>
      <c r="K285" s="35">
        <f t="shared" si="132"/>
        <v>45500</v>
      </c>
      <c r="L285" s="35">
        <f t="shared" si="105"/>
        <v>68.395126312174909</v>
      </c>
      <c r="M285" s="35">
        <f t="shared" si="106"/>
        <v>100</v>
      </c>
    </row>
    <row r="286" spans="1:13" ht="38.25">
      <c r="A286" s="59" t="s">
        <v>195</v>
      </c>
      <c r="B286" s="28" t="s">
        <v>163</v>
      </c>
      <c r="C286" s="28" t="s">
        <v>93</v>
      </c>
      <c r="D286" s="28" t="s">
        <v>17</v>
      </c>
      <c r="E286" s="28" t="s">
        <v>198</v>
      </c>
      <c r="F286" s="28" t="s">
        <v>196</v>
      </c>
      <c r="G286" s="35">
        <v>66525.2</v>
      </c>
      <c r="H286" s="35">
        <v>66525.207939999993</v>
      </c>
      <c r="I286" s="35">
        <v>45500</v>
      </c>
      <c r="J286" s="35">
        <v>45500</v>
      </c>
      <c r="K286" s="35">
        <v>45500</v>
      </c>
      <c r="L286" s="35">
        <f t="shared" si="105"/>
        <v>68.395126312174909</v>
      </c>
      <c r="M286" s="35">
        <f t="shared" si="106"/>
        <v>100</v>
      </c>
    </row>
    <row r="287" spans="1:13" s="88" customFormat="1" ht="72" customHeight="1">
      <c r="A287" s="59" t="s">
        <v>1231</v>
      </c>
      <c r="B287" s="28" t="s">
        <v>163</v>
      </c>
      <c r="C287" s="28" t="s">
        <v>93</v>
      </c>
      <c r="D287" s="28" t="s">
        <v>17</v>
      </c>
      <c r="E287" s="29" t="s">
        <v>1230</v>
      </c>
      <c r="F287" s="28"/>
      <c r="G287" s="35">
        <f>G288</f>
        <v>37234</v>
      </c>
      <c r="H287" s="35">
        <f t="shared" ref="H287:K288" si="133">H288</f>
        <v>37234</v>
      </c>
      <c r="I287" s="35">
        <f t="shared" si="133"/>
        <v>0</v>
      </c>
      <c r="J287" s="35">
        <f t="shared" si="133"/>
        <v>0</v>
      </c>
      <c r="K287" s="35">
        <f t="shared" si="133"/>
        <v>0</v>
      </c>
      <c r="L287" s="35">
        <f t="shared" si="105"/>
        <v>0</v>
      </c>
      <c r="M287" s="35">
        <v>0</v>
      </c>
    </row>
    <row r="288" spans="1:13" s="88" customFormat="1">
      <c r="A288" s="59" t="s">
        <v>26</v>
      </c>
      <c r="B288" s="28" t="s">
        <v>163</v>
      </c>
      <c r="C288" s="28" t="s">
        <v>93</v>
      </c>
      <c r="D288" s="28" t="s">
        <v>17</v>
      </c>
      <c r="E288" s="29" t="s">
        <v>1230</v>
      </c>
      <c r="F288" s="28">
        <v>500</v>
      </c>
      <c r="G288" s="35">
        <f>G289</f>
        <v>37234</v>
      </c>
      <c r="H288" s="35">
        <f t="shared" si="133"/>
        <v>37234</v>
      </c>
      <c r="I288" s="35">
        <f t="shared" si="133"/>
        <v>0</v>
      </c>
      <c r="J288" s="35">
        <f t="shared" si="133"/>
        <v>0</v>
      </c>
      <c r="K288" s="35">
        <f t="shared" si="133"/>
        <v>0</v>
      </c>
      <c r="L288" s="35">
        <f t="shared" si="105"/>
        <v>0</v>
      </c>
      <c r="M288" s="35">
        <v>0</v>
      </c>
    </row>
    <row r="289" spans="1:13" s="88" customFormat="1">
      <c r="A289" s="62" t="s">
        <v>352</v>
      </c>
      <c r="B289" s="28" t="s">
        <v>163</v>
      </c>
      <c r="C289" s="28" t="s">
        <v>93</v>
      </c>
      <c r="D289" s="28" t="s">
        <v>17</v>
      </c>
      <c r="E289" s="29" t="s">
        <v>1230</v>
      </c>
      <c r="F289" s="28">
        <v>540</v>
      </c>
      <c r="G289" s="35">
        <v>37234</v>
      </c>
      <c r="H289" s="35">
        <v>37234</v>
      </c>
      <c r="I289" s="35">
        <v>0</v>
      </c>
      <c r="J289" s="35">
        <v>0</v>
      </c>
      <c r="K289" s="35">
        <v>0</v>
      </c>
      <c r="L289" s="35">
        <f t="shared" si="105"/>
        <v>0</v>
      </c>
      <c r="M289" s="35">
        <v>0</v>
      </c>
    </row>
    <row r="290" spans="1:13" ht="76.5">
      <c r="A290" s="59" t="s">
        <v>98</v>
      </c>
      <c r="B290" s="28" t="s">
        <v>163</v>
      </c>
      <c r="C290" s="28" t="s">
        <v>93</v>
      </c>
      <c r="D290" s="28" t="s">
        <v>17</v>
      </c>
      <c r="E290" s="28" t="s">
        <v>99</v>
      </c>
      <c r="F290" s="58" t="s">
        <v>0</v>
      </c>
      <c r="G290" s="35">
        <f>G291+G297</f>
        <v>3069037</v>
      </c>
      <c r="H290" s="35">
        <f t="shared" ref="H290:K290" si="134">H291+H297</f>
        <v>2351760.5461099995</v>
      </c>
      <c r="I290" s="35">
        <f t="shared" si="134"/>
        <v>702824.50506</v>
      </c>
      <c r="J290" s="35">
        <f t="shared" si="134"/>
        <v>702824.50506</v>
      </c>
      <c r="K290" s="35">
        <f t="shared" si="134"/>
        <v>673618.25113999995</v>
      </c>
      <c r="L290" s="35">
        <f t="shared" si="105"/>
        <v>28.643147885707094</v>
      </c>
      <c r="M290" s="35">
        <f t="shared" si="106"/>
        <v>95.844445703055456</v>
      </c>
    </row>
    <row r="291" spans="1:13" ht="25.5">
      <c r="A291" s="59" t="s">
        <v>199</v>
      </c>
      <c r="B291" s="28" t="s">
        <v>163</v>
      </c>
      <c r="C291" s="28" t="s">
        <v>93</v>
      </c>
      <c r="D291" s="28" t="s">
        <v>17</v>
      </c>
      <c r="E291" s="28" t="s">
        <v>200</v>
      </c>
      <c r="F291" s="58" t="s">
        <v>0</v>
      </c>
      <c r="G291" s="35">
        <f>G292</f>
        <v>10355.799999999999</v>
      </c>
      <c r="H291" s="35">
        <f t="shared" ref="H291:K291" si="135">H292</f>
        <v>10355.79782</v>
      </c>
      <c r="I291" s="35">
        <f t="shared" si="135"/>
        <v>10355.79782</v>
      </c>
      <c r="J291" s="35">
        <f t="shared" si="135"/>
        <v>10355.79782</v>
      </c>
      <c r="K291" s="35">
        <f t="shared" si="135"/>
        <v>10355.79782</v>
      </c>
      <c r="L291" s="35">
        <f t="shared" ref="L291:L354" si="136">K291/H291*100</f>
        <v>100</v>
      </c>
      <c r="M291" s="35">
        <f t="shared" ref="M291:M354" si="137">K291/I291*100</f>
        <v>100</v>
      </c>
    </row>
    <row r="292" spans="1:13" ht="25.5">
      <c r="A292" s="59" t="s">
        <v>199</v>
      </c>
      <c r="B292" s="28" t="s">
        <v>163</v>
      </c>
      <c r="C292" s="28" t="s">
        <v>93</v>
      </c>
      <c r="D292" s="28" t="s">
        <v>17</v>
      </c>
      <c r="E292" s="28" t="s">
        <v>201</v>
      </c>
      <c r="F292" s="58" t="s">
        <v>0</v>
      </c>
      <c r="G292" s="35">
        <f>G294+G295</f>
        <v>10355.799999999999</v>
      </c>
      <c r="H292" s="35">
        <f t="shared" ref="H292:K292" si="138">H294+H295</f>
        <v>10355.79782</v>
      </c>
      <c r="I292" s="35">
        <f t="shared" si="138"/>
        <v>10355.79782</v>
      </c>
      <c r="J292" s="35">
        <f t="shared" si="138"/>
        <v>10355.79782</v>
      </c>
      <c r="K292" s="35">
        <f t="shared" si="138"/>
        <v>10355.79782</v>
      </c>
      <c r="L292" s="35">
        <f t="shared" si="136"/>
        <v>100</v>
      </c>
      <c r="M292" s="35">
        <f t="shared" si="137"/>
        <v>100</v>
      </c>
    </row>
    <row r="293" spans="1:13">
      <c r="A293" s="59" t="s">
        <v>26</v>
      </c>
      <c r="B293" s="28" t="s">
        <v>163</v>
      </c>
      <c r="C293" s="28" t="s">
        <v>93</v>
      </c>
      <c r="D293" s="28" t="s">
        <v>17</v>
      </c>
      <c r="E293" s="28" t="s">
        <v>201</v>
      </c>
      <c r="F293" s="28" t="s">
        <v>27</v>
      </c>
      <c r="G293" s="35">
        <f>G294</f>
        <v>1742.8</v>
      </c>
      <c r="H293" s="35">
        <f t="shared" ref="H293:K293" si="139">H294</f>
        <v>1742.8091300000001</v>
      </c>
      <c r="I293" s="35">
        <f t="shared" si="139"/>
        <v>1742.8091300000001</v>
      </c>
      <c r="J293" s="35">
        <f t="shared" si="139"/>
        <v>1742.8091300000001</v>
      </c>
      <c r="K293" s="35">
        <f t="shared" si="139"/>
        <v>1742.8091300000001</v>
      </c>
      <c r="L293" s="35">
        <f t="shared" si="136"/>
        <v>100</v>
      </c>
      <c r="M293" s="35">
        <f t="shared" si="137"/>
        <v>100</v>
      </c>
    </row>
    <row r="294" spans="1:13">
      <c r="A294" s="59" t="s">
        <v>56</v>
      </c>
      <c r="B294" s="28" t="s">
        <v>163</v>
      </c>
      <c r="C294" s="28" t="s">
        <v>93</v>
      </c>
      <c r="D294" s="28" t="s">
        <v>17</v>
      </c>
      <c r="E294" s="28" t="s">
        <v>201</v>
      </c>
      <c r="F294" s="28" t="s">
        <v>57</v>
      </c>
      <c r="G294" s="35">
        <v>1742.8</v>
      </c>
      <c r="H294" s="35">
        <v>1742.8091300000001</v>
      </c>
      <c r="I294" s="35">
        <v>1742.8091300000001</v>
      </c>
      <c r="J294" s="35">
        <v>1742.8091300000001</v>
      </c>
      <c r="K294" s="35">
        <v>1742.8091300000001</v>
      </c>
      <c r="L294" s="35">
        <f t="shared" si="136"/>
        <v>100</v>
      </c>
      <c r="M294" s="35">
        <f t="shared" si="137"/>
        <v>100</v>
      </c>
    </row>
    <row r="295" spans="1:13" ht="25.5">
      <c r="A295" s="59" t="s">
        <v>80</v>
      </c>
      <c r="B295" s="28" t="s">
        <v>163</v>
      </c>
      <c r="C295" s="28" t="s">
        <v>93</v>
      </c>
      <c r="D295" s="28" t="s">
        <v>17</v>
      </c>
      <c r="E295" s="28" t="s">
        <v>201</v>
      </c>
      <c r="F295" s="28" t="s">
        <v>81</v>
      </c>
      <c r="G295" s="35">
        <f>G296</f>
        <v>8613</v>
      </c>
      <c r="H295" s="35">
        <f t="shared" ref="H295:K295" si="140">H296</f>
        <v>8612.9886900000001</v>
      </c>
      <c r="I295" s="35">
        <f t="shared" si="140"/>
        <v>8612.9886900000001</v>
      </c>
      <c r="J295" s="35">
        <f t="shared" si="140"/>
        <v>8612.9886900000001</v>
      </c>
      <c r="K295" s="35">
        <f t="shared" si="140"/>
        <v>8612.9886900000001</v>
      </c>
      <c r="L295" s="35">
        <f t="shared" si="136"/>
        <v>100</v>
      </c>
      <c r="M295" s="35">
        <f t="shared" si="137"/>
        <v>100</v>
      </c>
    </row>
    <row r="296" spans="1:13" ht="38.25">
      <c r="A296" s="59" t="s">
        <v>195</v>
      </c>
      <c r="B296" s="28" t="s">
        <v>163</v>
      </c>
      <c r="C296" s="28" t="s">
        <v>93</v>
      </c>
      <c r="D296" s="28" t="s">
        <v>17</v>
      </c>
      <c r="E296" s="28" t="s">
        <v>201</v>
      </c>
      <c r="F296" s="28" t="s">
        <v>196</v>
      </c>
      <c r="G296" s="35">
        <v>8613</v>
      </c>
      <c r="H296" s="35">
        <v>8612.9886900000001</v>
      </c>
      <c r="I296" s="35">
        <v>8612.9886900000001</v>
      </c>
      <c r="J296" s="35">
        <v>8612.9886900000001</v>
      </c>
      <c r="K296" s="35">
        <v>8612.9886900000001</v>
      </c>
      <c r="L296" s="35">
        <f t="shared" si="136"/>
        <v>100</v>
      </c>
      <c r="M296" s="35">
        <f t="shared" si="137"/>
        <v>100</v>
      </c>
    </row>
    <row r="297" spans="1:13" ht="63.75">
      <c r="A297" s="59" t="s">
        <v>100</v>
      </c>
      <c r="B297" s="28" t="s">
        <v>163</v>
      </c>
      <c r="C297" s="28" t="s">
        <v>93</v>
      </c>
      <c r="D297" s="28" t="s">
        <v>17</v>
      </c>
      <c r="E297" s="28" t="s">
        <v>101</v>
      </c>
      <c r="F297" s="58" t="s">
        <v>0</v>
      </c>
      <c r="G297" s="35">
        <f>G298+G301+G304+G307+G310+G313</f>
        <v>3058681.2</v>
      </c>
      <c r="H297" s="35">
        <f t="shared" ref="H297:K297" si="141">H298+H301+H304+H307+H310+H313</f>
        <v>2341404.7482899996</v>
      </c>
      <c r="I297" s="35">
        <f t="shared" si="141"/>
        <v>692468.70724000002</v>
      </c>
      <c r="J297" s="35">
        <f t="shared" si="141"/>
        <v>692468.70724000002</v>
      </c>
      <c r="K297" s="35">
        <f t="shared" si="141"/>
        <v>663262.45331999997</v>
      </c>
      <c r="L297" s="35">
        <f t="shared" si="136"/>
        <v>28.327543702318071</v>
      </c>
      <c r="M297" s="35">
        <f t="shared" si="137"/>
        <v>95.78229981880213</v>
      </c>
    </row>
    <row r="298" spans="1:13" ht="63.75">
      <c r="A298" s="59" t="s">
        <v>102</v>
      </c>
      <c r="B298" s="28" t="s">
        <v>163</v>
      </c>
      <c r="C298" s="28" t="s">
        <v>93</v>
      </c>
      <c r="D298" s="28" t="s">
        <v>17</v>
      </c>
      <c r="E298" s="28" t="s">
        <v>103</v>
      </c>
      <c r="F298" s="58" t="s">
        <v>0</v>
      </c>
      <c r="G298" s="35">
        <f>G299</f>
        <v>1342739.3</v>
      </c>
      <c r="H298" s="35">
        <f t="shared" ref="H298:K299" si="142">H299</f>
        <v>631484.41775999998</v>
      </c>
      <c r="I298" s="35">
        <f t="shared" si="142"/>
        <v>48272.4015</v>
      </c>
      <c r="J298" s="35">
        <f t="shared" si="142"/>
        <v>48272.4015</v>
      </c>
      <c r="K298" s="35">
        <f t="shared" si="142"/>
        <v>48272.4015</v>
      </c>
      <c r="L298" s="35">
        <f t="shared" si="136"/>
        <v>7.644274370416257</v>
      </c>
      <c r="M298" s="35">
        <f t="shared" si="137"/>
        <v>100</v>
      </c>
    </row>
    <row r="299" spans="1:13">
      <c r="A299" s="59" t="s">
        <v>26</v>
      </c>
      <c r="B299" s="28" t="s">
        <v>163</v>
      </c>
      <c r="C299" s="28" t="s">
        <v>93</v>
      </c>
      <c r="D299" s="28" t="s">
        <v>17</v>
      </c>
      <c r="E299" s="28" t="s">
        <v>103</v>
      </c>
      <c r="F299" s="28" t="s">
        <v>27</v>
      </c>
      <c r="G299" s="35">
        <f>G300</f>
        <v>1342739.3</v>
      </c>
      <c r="H299" s="35">
        <f t="shared" si="142"/>
        <v>631484.41775999998</v>
      </c>
      <c r="I299" s="35">
        <f t="shared" si="142"/>
        <v>48272.4015</v>
      </c>
      <c r="J299" s="35">
        <f t="shared" si="142"/>
        <v>48272.4015</v>
      </c>
      <c r="K299" s="35">
        <f t="shared" si="142"/>
        <v>48272.4015</v>
      </c>
      <c r="L299" s="35">
        <f t="shared" si="136"/>
        <v>7.644274370416257</v>
      </c>
      <c r="M299" s="35">
        <f t="shared" si="137"/>
        <v>100</v>
      </c>
    </row>
    <row r="300" spans="1:13">
      <c r="A300" s="59" t="s">
        <v>56</v>
      </c>
      <c r="B300" s="28" t="s">
        <v>163</v>
      </c>
      <c r="C300" s="28" t="s">
        <v>93</v>
      </c>
      <c r="D300" s="28" t="s">
        <v>17</v>
      </c>
      <c r="E300" s="28" t="s">
        <v>103</v>
      </c>
      <c r="F300" s="28" t="s">
        <v>57</v>
      </c>
      <c r="G300" s="35">
        <v>1342739.3</v>
      </c>
      <c r="H300" s="35">
        <v>631484.41775999998</v>
      </c>
      <c r="I300" s="35">
        <v>48272.4015</v>
      </c>
      <c r="J300" s="35">
        <v>48272.4015</v>
      </c>
      <c r="K300" s="35">
        <v>48272.4015</v>
      </c>
      <c r="L300" s="35">
        <f t="shared" si="136"/>
        <v>7.644274370416257</v>
      </c>
      <c r="M300" s="35">
        <f t="shared" si="137"/>
        <v>100</v>
      </c>
    </row>
    <row r="301" spans="1:13" ht="25.5">
      <c r="A301" s="59" t="s">
        <v>202</v>
      </c>
      <c r="B301" s="28" t="s">
        <v>163</v>
      </c>
      <c r="C301" s="28" t="s">
        <v>93</v>
      </c>
      <c r="D301" s="28" t="s">
        <v>17</v>
      </c>
      <c r="E301" s="28" t="s">
        <v>203</v>
      </c>
      <c r="F301" s="58" t="s">
        <v>0</v>
      </c>
      <c r="G301" s="35">
        <f>G302</f>
        <v>686659.8</v>
      </c>
      <c r="H301" s="35">
        <f t="shared" ref="H301:K302" si="143">H302</f>
        <v>751659.78500000003</v>
      </c>
      <c r="I301" s="35">
        <f t="shared" si="143"/>
        <v>242628.48402</v>
      </c>
      <c r="J301" s="35">
        <f t="shared" si="143"/>
        <v>242628.48402</v>
      </c>
      <c r="K301" s="35">
        <f t="shared" si="143"/>
        <v>229910.48652000001</v>
      </c>
      <c r="L301" s="35">
        <f t="shared" si="136"/>
        <v>30.587040986900742</v>
      </c>
      <c r="M301" s="35">
        <f t="shared" si="137"/>
        <v>94.758242194287618</v>
      </c>
    </row>
    <row r="302" spans="1:13">
      <c r="A302" s="59" t="s">
        <v>26</v>
      </c>
      <c r="B302" s="28" t="s">
        <v>163</v>
      </c>
      <c r="C302" s="28" t="s">
        <v>93</v>
      </c>
      <c r="D302" s="28" t="s">
        <v>17</v>
      </c>
      <c r="E302" s="28" t="s">
        <v>203</v>
      </c>
      <c r="F302" s="28" t="s">
        <v>27</v>
      </c>
      <c r="G302" s="35">
        <f>G303</f>
        <v>686659.8</v>
      </c>
      <c r="H302" s="35">
        <f t="shared" si="143"/>
        <v>751659.78500000003</v>
      </c>
      <c r="I302" s="35">
        <f t="shared" si="143"/>
        <v>242628.48402</v>
      </c>
      <c r="J302" s="35">
        <f t="shared" si="143"/>
        <v>242628.48402</v>
      </c>
      <c r="K302" s="35">
        <f t="shared" si="143"/>
        <v>229910.48652000001</v>
      </c>
      <c r="L302" s="35">
        <f t="shared" si="136"/>
        <v>30.587040986900742</v>
      </c>
      <c r="M302" s="35">
        <f t="shared" si="137"/>
        <v>94.758242194287618</v>
      </c>
    </row>
    <row r="303" spans="1:13">
      <c r="A303" s="59" t="s">
        <v>56</v>
      </c>
      <c r="B303" s="28" t="s">
        <v>163</v>
      </c>
      <c r="C303" s="28" t="s">
        <v>93</v>
      </c>
      <c r="D303" s="28" t="s">
        <v>17</v>
      </c>
      <c r="E303" s="28" t="s">
        <v>203</v>
      </c>
      <c r="F303" s="28" t="s">
        <v>57</v>
      </c>
      <c r="G303" s="35">
        <v>686659.8</v>
      </c>
      <c r="H303" s="35">
        <v>751659.78500000003</v>
      </c>
      <c r="I303" s="35">
        <v>242628.48402</v>
      </c>
      <c r="J303" s="35">
        <v>242628.48402</v>
      </c>
      <c r="K303" s="35">
        <v>229910.48652000001</v>
      </c>
      <c r="L303" s="35">
        <f t="shared" si="136"/>
        <v>30.587040986900742</v>
      </c>
      <c r="M303" s="35">
        <f t="shared" si="137"/>
        <v>94.758242194287618</v>
      </c>
    </row>
    <row r="304" spans="1:13" ht="51">
      <c r="A304" s="59" t="s">
        <v>204</v>
      </c>
      <c r="B304" s="28" t="s">
        <v>163</v>
      </c>
      <c r="C304" s="28" t="s">
        <v>93</v>
      </c>
      <c r="D304" s="28" t="s">
        <v>17</v>
      </c>
      <c r="E304" s="28" t="s">
        <v>205</v>
      </c>
      <c r="F304" s="58" t="s">
        <v>0</v>
      </c>
      <c r="G304" s="35">
        <f>G305</f>
        <v>263799.5</v>
      </c>
      <c r="H304" s="35">
        <f t="shared" ref="H304:K305" si="144">H305</f>
        <v>192777.94553</v>
      </c>
      <c r="I304" s="35">
        <f t="shared" si="144"/>
        <v>83491.239480000004</v>
      </c>
      <c r="J304" s="35">
        <f t="shared" si="144"/>
        <v>83491.239480000004</v>
      </c>
      <c r="K304" s="35">
        <f t="shared" si="144"/>
        <v>83416.459260000003</v>
      </c>
      <c r="L304" s="35">
        <f t="shared" si="136"/>
        <v>43.270748129753663</v>
      </c>
      <c r="M304" s="35">
        <f t="shared" si="137"/>
        <v>99.91043345329912</v>
      </c>
    </row>
    <row r="305" spans="1:13">
      <c r="A305" s="59" t="s">
        <v>26</v>
      </c>
      <c r="B305" s="28" t="s">
        <v>163</v>
      </c>
      <c r="C305" s="28" t="s">
        <v>93</v>
      </c>
      <c r="D305" s="28" t="s">
        <v>17</v>
      </c>
      <c r="E305" s="28" t="s">
        <v>205</v>
      </c>
      <c r="F305" s="28" t="s">
        <v>27</v>
      </c>
      <c r="G305" s="35">
        <f>G306</f>
        <v>263799.5</v>
      </c>
      <c r="H305" s="35">
        <f t="shared" si="144"/>
        <v>192777.94553</v>
      </c>
      <c r="I305" s="35">
        <f t="shared" si="144"/>
        <v>83491.239480000004</v>
      </c>
      <c r="J305" s="35">
        <f t="shared" si="144"/>
        <v>83491.239480000004</v>
      </c>
      <c r="K305" s="35">
        <f t="shared" si="144"/>
        <v>83416.459260000003</v>
      </c>
      <c r="L305" s="35">
        <f t="shared" si="136"/>
        <v>43.270748129753663</v>
      </c>
      <c r="M305" s="35">
        <f t="shared" si="137"/>
        <v>99.91043345329912</v>
      </c>
    </row>
    <row r="306" spans="1:13">
      <c r="A306" s="59" t="s">
        <v>56</v>
      </c>
      <c r="B306" s="28" t="s">
        <v>163</v>
      </c>
      <c r="C306" s="28" t="s">
        <v>93</v>
      </c>
      <c r="D306" s="28" t="s">
        <v>17</v>
      </c>
      <c r="E306" s="28" t="s">
        <v>205</v>
      </c>
      <c r="F306" s="28" t="s">
        <v>57</v>
      </c>
      <c r="G306" s="35">
        <v>263799.5</v>
      </c>
      <c r="H306" s="35">
        <v>192777.94553</v>
      </c>
      <c r="I306" s="35">
        <v>83491.239480000004</v>
      </c>
      <c r="J306" s="35">
        <v>83491.239480000004</v>
      </c>
      <c r="K306" s="35">
        <v>83416.459260000003</v>
      </c>
      <c r="L306" s="35">
        <f t="shared" si="136"/>
        <v>43.270748129753663</v>
      </c>
      <c r="M306" s="35">
        <f t="shared" si="137"/>
        <v>99.91043345329912</v>
      </c>
    </row>
    <row r="307" spans="1:13" ht="63.75">
      <c r="A307" s="59" t="s">
        <v>102</v>
      </c>
      <c r="B307" s="28" t="s">
        <v>163</v>
      </c>
      <c r="C307" s="28" t="s">
        <v>93</v>
      </c>
      <c r="D307" s="28" t="s">
        <v>17</v>
      </c>
      <c r="E307" s="28" t="s">
        <v>104</v>
      </c>
      <c r="F307" s="58" t="s">
        <v>0</v>
      </c>
      <c r="G307" s="35">
        <f>G308</f>
        <v>212946.5</v>
      </c>
      <c r="H307" s="35">
        <f t="shared" ref="H307:K308" si="145">H308</f>
        <v>241237.22675999999</v>
      </c>
      <c r="I307" s="35">
        <f t="shared" si="145"/>
        <v>27291.987109999998</v>
      </c>
      <c r="J307" s="35">
        <f t="shared" si="145"/>
        <v>27291.987109999998</v>
      </c>
      <c r="K307" s="35">
        <f t="shared" si="145"/>
        <v>18651.987109999998</v>
      </c>
      <c r="L307" s="35">
        <f t="shared" si="136"/>
        <v>7.731802989327317</v>
      </c>
      <c r="M307" s="35">
        <f t="shared" si="137"/>
        <v>68.342356438992184</v>
      </c>
    </row>
    <row r="308" spans="1:13">
      <c r="A308" s="59" t="s">
        <v>26</v>
      </c>
      <c r="B308" s="28" t="s">
        <v>163</v>
      </c>
      <c r="C308" s="28" t="s">
        <v>93</v>
      </c>
      <c r="D308" s="28" t="s">
        <v>17</v>
      </c>
      <c r="E308" s="28" t="s">
        <v>104</v>
      </c>
      <c r="F308" s="28" t="s">
        <v>27</v>
      </c>
      <c r="G308" s="35">
        <f>G309</f>
        <v>212946.5</v>
      </c>
      <c r="H308" s="35">
        <f t="shared" si="145"/>
        <v>241237.22675999999</v>
      </c>
      <c r="I308" s="35">
        <f t="shared" si="145"/>
        <v>27291.987109999998</v>
      </c>
      <c r="J308" s="35">
        <f t="shared" si="145"/>
        <v>27291.987109999998</v>
      </c>
      <c r="K308" s="35">
        <f t="shared" si="145"/>
        <v>18651.987109999998</v>
      </c>
      <c r="L308" s="35">
        <f t="shared" si="136"/>
        <v>7.731802989327317</v>
      </c>
      <c r="M308" s="35">
        <f t="shared" si="137"/>
        <v>68.342356438992184</v>
      </c>
    </row>
    <row r="309" spans="1:13">
      <c r="A309" s="59" t="s">
        <v>56</v>
      </c>
      <c r="B309" s="28" t="s">
        <v>163</v>
      </c>
      <c r="C309" s="28" t="s">
        <v>93</v>
      </c>
      <c r="D309" s="28" t="s">
        <v>17</v>
      </c>
      <c r="E309" s="28" t="s">
        <v>104</v>
      </c>
      <c r="F309" s="28" t="s">
        <v>57</v>
      </c>
      <c r="G309" s="35">
        <v>212946.5</v>
      </c>
      <c r="H309" s="35">
        <v>241237.22675999999</v>
      </c>
      <c r="I309" s="35">
        <v>27291.987109999998</v>
      </c>
      <c r="J309" s="35">
        <v>27291.987109999998</v>
      </c>
      <c r="K309" s="35">
        <v>18651.987109999998</v>
      </c>
      <c r="L309" s="35">
        <f t="shared" si="136"/>
        <v>7.731802989327317</v>
      </c>
      <c r="M309" s="35">
        <f t="shared" si="137"/>
        <v>68.342356438992184</v>
      </c>
    </row>
    <row r="310" spans="1:13" ht="25.5">
      <c r="A310" s="59" t="s">
        <v>202</v>
      </c>
      <c r="B310" s="28" t="s">
        <v>163</v>
      </c>
      <c r="C310" s="28" t="s">
        <v>93</v>
      </c>
      <c r="D310" s="28" t="s">
        <v>17</v>
      </c>
      <c r="E310" s="28" t="s">
        <v>206</v>
      </c>
      <c r="F310" s="58" t="s">
        <v>0</v>
      </c>
      <c r="G310" s="35">
        <f>G311</f>
        <v>482113.1</v>
      </c>
      <c r="H310" s="35">
        <f t="shared" ref="H310:K311" si="146">H311</f>
        <v>453822.36323999998</v>
      </c>
      <c r="I310" s="35">
        <f t="shared" si="146"/>
        <v>221705.32259</v>
      </c>
      <c r="J310" s="35">
        <f t="shared" si="146"/>
        <v>221705.32259</v>
      </c>
      <c r="K310" s="35">
        <f t="shared" si="146"/>
        <v>213931.84638999999</v>
      </c>
      <c r="L310" s="35">
        <f t="shared" si="136"/>
        <v>47.139996553423266</v>
      </c>
      <c r="M310" s="35">
        <f t="shared" si="137"/>
        <v>96.493780072941462</v>
      </c>
    </row>
    <row r="311" spans="1:13">
      <c r="A311" s="59" t="s">
        <v>26</v>
      </c>
      <c r="B311" s="28" t="s">
        <v>163</v>
      </c>
      <c r="C311" s="28" t="s">
        <v>93</v>
      </c>
      <c r="D311" s="28" t="s">
        <v>17</v>
      </c>
      <c r="E311" s="28" t="s">
        <v>206</v>
      </c>
      <c r="F311" s="28" t="s">
        <v>27</v>
      </c>
      <c r="G311" s="35">
        <f>G312</f>
        <v>482113.1</v>
      </c>
      <c r="H311" s="35">
        <f t="shared" si="146"/>
        <v>453822.36323999998</v>
      </c>
      <c r="I311" s="35">
        <f t="shared" si="146"/>
        <v>221705.32259</v>
      </c>
      <c r="J311" s="35">
        <f t="shared" si="146"/>
        <v>221705.32259</v>
      </c>
      <c r="K311" s="35">
        <f t="shared" si="146"/>
        <v>213931.84638999999</v>
      </c>
      <c r="L311" s="35">
        <f t="shared" si="136"/>
        <v>47.139996553423266</v>
      </c>
      <c r="M311" s="35">
        <f t="shared" si="137"/>
        <v>96.493780072941462</v>
      </c>
    </row>
    <row r="312" spans="1:13">
      <c r="A312" s="59" t="s">
        <v>56</v>
      </c>
      <c r="B312" s="28" t="s">
        <v>163</v>
      </c>
      <c r="C312" s="28" t="s">
        <v>93</v>
      </c>
      <c r="D312" s="28" t="s">
        <v>17</v>
      </c>
      <c r="E312" s="28" t="s">
        <v>206</v>
      </c>
      <c r="F312" s="28" t="s">
        <v>57</v>
      </c>
      <c r="G312" s="35">
        <v>482113.1</v>
      </c>
      <c r="H312" s="35">
        <v>453822.36323999998</v>
      </c>
      <c r="I312" s="35">
        <v>221705.32259</v>
      </c>
      <c r="J312" s="35">
        <v>221705.32259</v>
      </c>
      <c r="K312" s="35">
        <v>213931.84638999999</v>
      </c>
      <c r="L312" s="35">
        <f t="shared" si="136"/>
        <v>47.139996553423266</v>
      </c>
      <c r="M312" s="35">
        <f t="shared" si="137"/>
        <v>96.493780072941462</v>
      </c>
    </row>
    <row r="313" spans="1:13" ht="51">
      <c r="A313" s="59" t="s">
        <v>204</v>
      </c>
      <c r="B313" s="28" t="s">
        <v>163</v>
      </c>
      <c r="C313" s="28" t="s">
        <v>93</v>
      </c>
      <c r="D313" s="28" t="s">
        <v>17</v>
      </c>
      <c r="E313" s="28" t="s">
        <v>207</v>
      </c>
      <c r="F313" s="58" t="s">
        <v>0</v>
      </c>
      <c r="G313" s="35">
        <f>G314</f>
        <v>70423</v>
      </c>
      <c r="H313" s="35">
        <f t="shared" ref="H313:K314" si="147">H314</f>
        <v>70423.009999999995</v>
      </c>
      <c r="I313" s="35">
        <f t="shared" si="147"/>
        <v>69079.272540000005</v>
      </c>
      <c r="J313" s="35">
        <f t="shared" si="147"/>
        <v>69079.272540000005</v>
      </c>
      <c r="K313" s="35">
        <f t="shared" si="147"/>
        <v>69079.272540000005</v>
      </c>
      <c r="L313" s="35">
        <f t="shared" si="136"/>
        <v>98.091905671171972</v>
      </c>
      <c r="M313" s="35">
        <f t="shared" si="137"/>
        <v>100</v>
      </c>
    </row>
    <row r="314" spans="1:13">
      <c r="A314" s="59" t="s">
        <v>26</v>
      </c>
      <c r="B314" s="28" t="s">
        <v>163</v>
      </c>
      <c r="C314" s="28" t="s">
        <v>93</v>
      </c>
      <c r="D314" s="28" t="s">
        <v>17</v>
      </c>
      <c r="E314" s="28" t="s">
        <v>207</v>
      </c>
      <c r="F314" s="28" t="s">
        <v>27</v>
      </c>
      <c r="G314" s="35">
        <f>G315</f>
        <v>70423</v>
      </c>
      <c r="H314" s="35">
        <f t="shared" si="147"/>
        <v>70423.009999999995</v>
      </c>
      <c r="I314" s="35">
        <f t="shared" si="147"/>
        <v>69079.272540000005</v>
      </c>
      <c r="J314" s="35">
        <f t="shared" si="147"/>
        <v>69079.272540000005</v>
      </c>
      <c r="K314" s="35">
        <f t="shared" si="147"/>
        <v>69079.272540000005</v>
      </c>
      <c r="L314" s="35">
        <f t="shared" si="136"/>
        <v>98.091905671171972</v>
      </c>
      <c r="M314" s="35">
        <f t="shared" si="137"/>
        <v>100</v>
      </c>
    </row>
    <row r="315" spans="1:13">
      <c r="A315" s="59" t="s">
        <v>56</v>
      </c>
      <c r="B315" s="28" t="s">
        <v>163</v>
      </c>
      <c r="C315" s="28" t="s">
        <v>93</v>
      </c>
      <c r="D315" s="28" t="s">
        <v>17</v>
      </c>
      <c r="E315" s="28" t="s">
        <v>207</v>
      </c>
      <c r="F315" s="28" t="s">
        <v>57</v>
      </c>
      <c r="G315" s="35">
        <v>70423</v>
      </c>
      <c r="H315" s="35">
        <v>70423.009999999995</v>
      </c>
      <c r="I315" s="35">
        <v>69079.272540000005</v>
      </c>
      <c r="J315" s="35">
        <v>69079.272540000005</v>
      </c>
      <c r="K315" s="35">
        <v>69079.272540000005</v>
      </c>
      <c r="L315" s="35">
        <f t="shared" si="136"/>
        <v>98.091905671171972</v>
      </c>
      <c r="M315" s="35">
        <f t="shared" si="137"/>
        <v>100</v>
      </c>
    </row>
    <row r="316" spans="1:13" ht="38.25">
      <c r="A316" s="59" t="s">
        <v>208</v>
      </c>
      <c r="B316" s="28" t="s">
        <v>163</v>
      </c>
      <c r="C316" s="28" t="s">
        <v>93</v>
      </c>
      <c r="D316" s="28" t="s">
        <v>17</v>
      </c>
      <c r="E316" s="28" t="s">
        <v>209</v>
      </c>
      <c r="F316" s="58" t="s">
        <v>0</v>
      </c>
      <c r="G316" s="35">
        <f>G317</f>
        <v>41157</v>
      </c>
      <c r="H316" s="35">
        <f t="shared" ref="H316:K318" si="148">H317</f>
        <v>41157</v>
      </c>
      <c r="I316" s="35">
        <f t="shared" si="148"/>
        <v>0</v>
      </c>
      <c r="J316" s="35">
        <f t="shared" si="148"/>
        <v>0</v>
      </c>
      <c r="K316" s="35">
        <f t="shared" si="148"/>
        <v>0</v>
      </c>
      <c r="L316" s="35">
        <f t="shared" si="136"/>
        <v>0</v>
      </c>
      <c r="M316" s="35">
        <v>0</v>
      </c>
    </row>
    <row r="317" spans="1:13" ht="25.5">
      <c r="A317" s="59" t="s">
        <v>199</v>
      </c>
      <c r="B317" s="28" t="s">
        <v>163</v>
      </c>
      <c r="C317" s="28" t="s">
        <v>93</v>
      </c>
      <c r="D317" s="28" t="s">
        <v>17</v>
      </c>
      <c r="E317" s="28" t="s">
        <v>210</v>
      </c>
      <c r="F317" s="58" t="s">
        <v>0</v>
      </c>
      <c r="G317" s="35">
        <f>G318</f>
        <v>41157</v>
      </c>
      <c r="H317" s="35">
        <f t="shared" si="148"/>
        <v>41157</v>
      </c>
      <c r="I317" s="35">
        <f t="shared" si="148"/>
        <v>0</v>
      </c>
      <c r="J317" s="35">
        <f t="shared" si="148"/>
        <v>0</v>
      </c>
      <c r="K317" s="35">
        <f t="shared" si="148"/>
        <v>0</v>
      </c>
      <c r="L317" s="35">
        <f t="shared" si="136"/>
        <v>0</v>
      </c>
      <c r="M317" s="35">
        <v>0</v>
      </c>
    </row>
    <row r="318" spans="1:13" ht="25.5">
      <c r="A318" s="59" t="s">
        <v>80</v>
      </c>
      <c r="B318" s="28" t="s">
        <v>163</v>
      </c>
      <c r="C318" s="28" t="s">
        <v>93</v>
      </c>
      <c r="D318" s="28" t="s">
        <v>17</v>
      </c>
      <c r="E318" s="28" t="s">
        <v>210</v>
      </c>
      <c r="F318" s="28" t="s">
        <v>81</v>
      </c>
      <c r="G318" s="35">
        <f>G319</f>
        <v>41157</v>
      </c>
      <c r="H318" s="35">
        <f t="shared" si="148"/>
        <v>41157</v>
      </c>
      <c r="I318" s="35">
        <f t="shared" si="148"/>
        <v>0</v>
      </c>
      <c r="J318" s="35">
        <f t="shared" si="148"/>
        <v>0</v>
      </c>
      <c r="K318" s="35">
        <f t="shared" si="148"/>
        <v>0</v>
      </c>
      <c r="L318" s="35">
        <f t="shared" si="136"/>
        <v>0</v>
      </c>
      <c r="M318" s="35">
        <v>0</v>
      </c>
    </row>
    <row r="319" spans="1:13" ht="38.25">
      <c r="A319" s="59" t="s">
        <v>195</v>
      </c>
      <c r="B319" s="28" t="s">
        <v>163</v>
      </c>
      <c r="C319" s="28" t="s">
        <v>93</v>
      </c>
      <c r="D319" s="28" t="s">
        <v>17</v>
      </c>
      <c r="E319" s="28" t="s">
        <v>210</v>
      </c>
      <c r="F319" s="28" t="s">
        <v>196</v>
      </c>
      <c r="G319" s="35">
        <v>41157</v>
      </c>
      <c r="H319" s="35">
        <v>41157</v>
      </c>
      <c r="I319" s="35">
        <v>0</v>
      </c>
      <c r="J319" s="35">
        <v>0</v>
      </c>
      <c r="K319" s="35">
        <v>0</v>
      </c>
      <c r="L319" s="35">
        <f t="shared" si="136"/>
        <v>0</v>
      </c>
      <c r="M319" s="35">
        <v>0</v>
      </c>
    </row>
    <row r="320" spans="1:13">
      <c r="A320" s="59" t="s">
        <v>105</v>
      </c>
      <c r="B320" s="28" t="s">
        <v>163</v>
      </c>
      <c r="C320" s="28" t="s">
        <v>93</v>
      </c>
      <c r="D320" s="28" t="s">
        <v>106</v>
      </c>
      <c r="E320" s="58" t="s">
        <v>0</v>
      </c>
      <c r="F320" s="58" t="s">
        <v>0</v>
      </c>
      <c r="G320" s="35">
        <f>G321</f>
        <v>3075920.8000000003</v>
      </c>
      <c r="H320" s="35">
        <f>H321+H351+H355</f>
        <v>3093043.61968</v>
      </c>
      <c r="I320" s="35">
        <f t="shared" ref="I320:K320" si="149">I321+I351+I355</f>
        <v>2476999.3293700004</v>
      </c>
      <c r="J320" s="35">
        <f t="shared" si="149"/>
        <v>2476999.3293700004</v>
      </c>
      <c r="K320" s="35">
        <f t="shared" si="149"/>
        <v>2476491.9524200005</v>
      </c>
      <c r="L320" s="35">
        <f t="shared" si="136"/>
        <v>80.066505905798152</v>
      </c>
      <c r="M320" s="35">
        <f t="shared" si="137"/>
        <v>99.979516468010956</v>
      </c>
    </row>
    <row r="321" spans="1:13" ht="38.25">
      <c r="A321" s="59" t="s">
        <v>175</v>
      </c>
      <c r="B321" s="28" t="s">
        <v>163</v>
      </c>
      <c r="C321" s="28" t="s">
        <v>93</v>
      </c>
      <c r="D321" s="28" t="s">
        <v>106</v>
      </c>
      <c r="E321" s="28" t="s">
        <v>176</v>
      </c>
      <c r="F321" s="58" t="s">
        <v>0</v>
      </c>
      <c r="G321" s="35">
        <f>G322+G332</f>
        <v>3075920.8000000003</v>
      </c>
      <c r="H321" s="35">
        <f t="shared" ref="H321:K321" si="150">H322+H332</f>
        <v>3075920.8055599998</v>
      </c>
      <c r="I321" s="35">
        <f t="shared" si="150"/>
        <v>2459876.5152500002</v>
      </c>
      <c r="J321" s="35">
        <f t="shared" si="150"/>
        <v>2459876.5152500002</v>
      </c>
      <c r="K321" s="35">
        <f t="shared" si="150"/>
        <v>2459369.1383000002</v>
      </c>
      <c r="L321" s="35">
        <f t="shared" si="136"/>
        <v>79.955541568380838</v>
      </c>
      <c r="M321" s="35">
        <f t="shared" si="137"/>
        <v>99.979373885361539</v>
      </c>
    </row>
    <row r="322" spans="1:13" ht="38.25">
      <c r="A322" s="59" t="s">
        <v>177</v>
      </c>
      <c r="B322" s="28" t="s">
        <v>163</v>
      </c>
      <c r="C322" s="28" t="s">
        <v>93</v>
      </c>
      <c r="D322" s="28" t="s">
        <v>106</v>
      </c>
      <c r="E322" s="28" t="s">
        <v>178</v>
      </c>
      <c r="F322" s="58" t="s">
        <v>0</v>
      </c>
      <c r="G322" s="35">
        <f>G323+G326+G329</f>
        <v>131901</v>
      </c>
      <c r="H322" s="35">
        <f t="shared" ref="H322:K322" si="151">H323+H326+H329</f>
        <v>131901</v>
      </c>
      <c r="I322" s="35">
        <f t="shared" si="151"/>
        <v>38536.848660000003</v>
      </c>
      <c r="J322" s="35">
        <f t="shared" si="151"/>
        <v>38536.848660000003</v>
      </c>
      <c r="K322" s="35">
        <f t="shared" si="151"/>
        <v>38029.471709999998</v>
      </c>
      <c r="L322" s="35">
        <f t="shared" si="136"/>
        <v>28.831829713193986</v>
      </c>
      <c r="M322" s="35">
        <f t="shared" si="137"/>
        <v>98.683397922657207</v>
      </c>
    </row>
    <row r="323" spans="1:13" ht="25.5">
      <c r="A323" s="59" t="s">
        <v>107</v>
      </c>
      <c r="B323" s="28" t="s">
        <v>163</v>
      </c>
      <c r="C323" s="28" t="s">
        <v>93</v>
      </c>
      <c r="D323" s="28" t="s">
        <v>106</v>
      </c>
      <c r="E323" s="28" t="s">
        <v>211</v>
      </c>
      <c r="F323" s="58" t="s">
        <v>0</v>
      </c>
      <c r="G323" s="35">
        <f>G324</f>
        <v>10000</v>
      </c>
      <c r="H323" s="35">
        <f t="shared" ref="H323:K324" si="152">H324</f>
        <v>10000</v>
      </c>
      <c r="I323" s="35">
        <f t="shared" si="152"/>
        <v>0</v>
      </c>
      <c r="J323" s="35">
        <f t="shared" si="152"/>
        <v>0</v>
      </c>
      <c r="K323" s="35">
        <f t="shared" si="152"/>
        <v>0</v>
      </c>
      <c r="L323" s="35">
        <f t="shared" si="136"/>
        <v>0</v>
      </c>
      <c r="M323" s="35">
        <v>0</v>
      </c>
    </row>
    <row r="324" spans="1:13">
      <c r="A324" s="59" t="s">
        <v>26</v>
      </c>
      <c r="B324" s="28" t="s">
        <v>163</v>
      </c>
      <c r="C324" s="28" t="s">
        <v>93</v>
      </c>
      <c r="D324" s="28" t="s">
        <v>106</v>
      </c>
      <c r="E324" s="28" t="s">
        <v>211</v>
      </c>
      <c r="F324" s="28" t="s">
        <v>27</v>
      </c>
      <c r="G324" s="35">
        <f>G325</f>
        <v>10000</v>
      </c>
      <c r="H324" s="35">
        <f t="shared" si="152"/>
        <v>10000</v>
      </c>
      <c r="I324" s="35">
        <f t="shared" si="152"/>
        <v>0</v>
      </c>
      <c r="J324" s="35">
        <f t="shared" si="152"/>
        <v>0</v>
      </c>
      <c r="K324" s="35">
        <f t="shared" si="152"/>
        <v>0</v>
      </c>
      <c r="L324" s="35">
        <f t="shared" si="136"/>
        <v>0</v>
      </c>
      <c r="M324" s="35">
        <v>0</v>
      </c>
    </row>
    <row r="325" spans="1:13">
      <c r="A325" s="59" t="s">
        <v>56</v>
      </c>
      <c r="B325" s="28" t="s">
        <v>163</v>
      </c>
      <c r="C325" s="28" t="s">
        <v>93</v>
      </c>
      <c r="D325" s="28" t="s">
        <v>106</v>
      </c>
      <c r="E325" s="28" t="s">
        <v>211</v>
      </c>
      <c r="F325" s="28" t="s">
        <v>57</v>
      </c>
      <c r="G325" s="35">
        <v>10000</v>
      </c>
      <c r="H325" s="35">
        <v>10000</v>
      </c>
      <c r="I325" s="35">
        <v>0</v>
      </c>
      <c r="J325" s="35">
        <v>0</v>
      </c>
      <c r="K325" s="35">
        <v>0</v>
      </c>
      <c r="L325" s="35">
        <f t="shared" si="136"/>
        <v>0</v>
      </c>
      <c r="M325" s="35">
        <v>0</v>
      </c>
    </row>
    <row r="326" spans="1:13" ht="38.25">
      <c r="A326" s="59" t="s">
        <v>212</v>
      </c>
      <c r="B326" s="28" t="s">
        <v>163</v>
      </c>
      <c r="C326" s="28" t="s">
        <v>93</v>
      </c>
      <c r="D326" s="28" t="s">
        <v>106</v>
      </c>
      <c r="E326" s="28" t="s">
        <v>213</v>
      </c>
      <c r="F326" s="58" t="s">
        <v>0</v>
      </c>
      <c r="G326" s="35">
        <f>G327</f>
        <v>115255</v>
      </c>
      <c r="H326" s="35">
        <f t="shared" ref="H326:K327" si="153">H327</f>
        <v>115255</v>
      </c>
      <c r="I326" s="35">
        <f t="shared" si="153"/>
        <v>31890.84866</v>
      </c>
      <c r="J326" s="35">
        <f t="shared" si="153"/>
        <v>31890.84866</v>
      </c>
      <c r="K326" s="35">
        <f t="shared" si="153"/>
        <v>31383.471710000002</v>
      </c>
      <c r="L326" s="35">
        <f t="shared" si="136"/>
        <v>27.229596728992234</v>
      </c>
      <c r="M326" s="35">
        <f t="shared" si="137"/>
        <v>98.409020232075576</v>
      </c>
    </row>
    <row r="327" spans="1:13">
      <c r="A327" s="59" t="s">
        <v>26</v>
      </c>
      <c r="B327" s="28" t="s">
        <v>163</v>
      </c>
      <c r="C327" s="28" t="s">
        <v>93</v>
      </c>
      <c r="D327" s="28" t="s">
        <v>106</v>
      </c>
      <c r="E327" s="28" t="s">
        <v>213</v>
      </c>
      <c r="F327" s="28" t="s">
        <v>27</v>
      </c>
      <c r="G327" s="35">
        <f>G328</f>
        <v>115255</v>
      </c>
      <c r="H327" s="35">
        <f t="shared" si="153"/>
        <v>115255</v>
      </c>
      <c r="I327" s="35">
        <f t="shared" si="153"/>
        <v>31890.84866</v>
      </c>
      <c r="J327" s="35">
        <f t="shared" si="153"/>
        <v>31890.84866</v>
      </c>
      <c r="K327" s="35">
        <f t="shared" si="153"/>
        <v>31383.471710000002</v>
      </c>
      <c r="L327" s="35">
        <f t="shared" si="136"/>
        <v>27.229596728992234</v>
      </c>
      <c r="M327" s="35">
        <f t="shared" si="137"/>
        <v>98.409020232075576</v>
      </c>
    </row>
    <row r="328" spans="1:13">
      <c r="A328" s="59" t="s">
        <v>56</v>
      </c>
      <c r="B328" s="28" t="s">
        <v>163</v>
      </c>
      <c r="C328" s="28" t="s">
        <v>93</v>
      </c>
      <c r="D328" s="28" t="s">
        <v>106</v>
      </c>
      <c r="E328" s="28" t="s">
        <v>213</v>
      </c>
      <c r="F328" s="28" t="s">
        <v>57</v>
      </c>
      <c r="G328" s="35">
        <v>115255</v>
      </c>
      <c r="H328" s="35">
        <v>115255</v>
      </c>
      <c r="I328" s="35">
        <v>31890.84866</v>
      </c>
      <c r="J328" s="35">
        <v>31890.84866</v>
      </c>
      <c r="K328" s="35">
        <v>31383.471710000002</v>
      </c>
      <c r="L328" s="35">
        <f t="shared" si="136"/>
        <v>27.229596728992234</v>
      </c>
      <c r="M328" s="35">
        <f t="shared" si="137"/>
        <v>98.409020232075576</v>
      </c>
    </row>
    <row r="329" spans="1:13" ht="63.75">
      <c r="A329" s="59" t="s">
        <v>214</v>
      </c>
      <c r="B329" s="28" t="s">
        <v>163</v>
      </c>
      <c r="C329" s="28" t="s">
        <v>93</v>
      </c>
      <c r="D329" s="28" t="s">
        <v>106</v>
      </c>
      <c r="E329" s="28" t="s">
        <v>215</v>
      </c>
      <c r="F329" s="58" t="s">
        <v>0</v>
      </c>
      <c r="G329" s="35">
        <f>G330</f>
        <v>6646</v>
      </c>
      <c r="H329" s="35">
        <f t="shared" ref="H329:K330" si="154">H330</f>
        <v>6646</v>
      </c>
      <c r="I329" s="35">
        <f t="shared" si="154"/>
        <v>6646</v>
      </c>
      <c r="J329" s="35">
        <f t="shared" si="154"/>
        <v>6646</v>
      </c>
      <c r="K329" s="35">
        <f t="shared" si="154"/>
        <v>6646</v>
      </c>
      <c r="L329" s="35">
        <f t="shared" si="136"/>
        <v>100</v>
      </c>
      <c r="M329" s="35">
        <f t="shared" si="137"/>
        <v>100</v>
      </c>
    </row>
    <row r="330" spans="1:13">
      <c r="A330" s="59" t="s">
        <v>26</v>
      </c>
      <c r="B330" s="28" t="s">
        <v>163</v>
      </c>
      <c r="C330" s="28" t="s">
        <v>93</v>
      </c>
      <c r="D330" s="28" t="s">
        <v>106</v>
      </c>
      <c r="E330" s="28" t="s">
        <v>215</v>
      </c>
      <c r="F330" s="28" t="s">
        <v>27</v>
      </c>
      <c r="G330" s="35">
        <f>G331</f>
        <v>6646</v>
      </c>
      <c r="H330" s="35">
        <f t="shared" si="154"/>
        <v>6646</v>
      </c>
      <c r="I330" s="35">
        <f t="shared" si="154"/>
        <v>6646</v>
      </c>
      <c r="J330" s="35">
        <f t="shared" si="154"/>
        <v>6646</v>
      </c>
      <c r="K330" s="35">
        <f t="shared" si="154"/>
        <v>6646</v>
      </c>
      <c r="L330" s="35">
        <f t="shared" si="136"/>
        <v>100</v>
      </c>
      <c r="M330" s="35">
        <f t="shared" si="137"/>
        <v>100</v>
      </c>
    </row>
    <row r="331" spans="1:13">
      <c r="A331" s="59" t="s">
        <v>56</v>
      </c>
      <c r="B331" s="28" t="s">
        <v>163</v>
      </c>
      <c r="C331" s="28" t="s">
        <v>93</v>
      </c>
      <c r="D331" s="28" t="s">
        <v>106</v>
      </c>
      <c r="E331" s="28" t="s">
        <v>215</v>
      </c>
      <c r="F331" s="28" t="s">
        <v>57</v>
      </c>
      <c r="G331" s="35">
        <v>6646</v>
      </c>
      <c r="H331" s="35">
        <v>6646</v>
      </c>
      <c r="I331" s="35">
        <v>6646</v>
      </c>
      <c r="J331" s="35">
        <v>6646</v>
      </c>
      <c r="K331" s="35">
        <v>6646</v>
      </c>
      <c r="L331" s="35">
        <f t="shared" si="136"/>
        <v>100</v>
      </c>
      <c r="M331" s="35">
        <f t="shared" si="137"/>
        <v>100</v>
      </c>
    </row>
    <row r="332" spans="1:13" ht="38.25">
      <c r="A332" s="59" t="s">
        <v>181</v>
      </c>
      <c r="B332" s="28" t="s">
        <v>163</v>
      </c>
      <c r="C332" s="28" t="s">
        <v>93</v>
      </c>
      <c r="D332" s="28" t="s">
        <v>106</v>
      </c>
      <c r="E332" s="28" t="s">
        <v>182</v>
      </c>
      <c r="F332" s="58" t="s">
        <v>0</v>
      </c>
      <c r="G332" s="35">
        <f>G336+G339+G342+G345+G348</f>
        <v>2944019.8000000003</v>
      </c>
      <c r="H332" s="35">
        <f>H336+H339+H342+H345+H348+H333</f>
        <v>2944019.8055599998</v>
      </c>
      <c r="I332" s="35">
        <f t="shared" ref="I332:K332" si="155">I336+I339+I342+I345+I348+I333</f>
        <v>2421339.66659</v>
      </c>
      <c r="J332" s="35">
        <f t="shared" si="155"/>
        <v>2421339.66659</v>
      </c>
      <c r="K332" s="35">
        <f t="shared" si="155"/>
        <v>2421339.66659</v>
      </c>
      <c r="L332" s="35">
        <f t="shared" si="136"/>
        <v>82.246038631164112</v>
      </c>
      <c r="M332" s="35">
        <f t="shared" si="137"/>
        <v>100</v>
      </c>
    </row>
    <row r="333" spans="1:13" ht="18" customHeight="1">
      <c r="A333" s="59" t="s">
        <v>609</v>
      </c>
      <c r="B333" s="28" t="s">
        <v>163</v>
      </c>
      <c r="C333" s="28" t="s">
        <v>93</v>
      </c>
      <c r="D333" s="28" t="s">
        <v>106</v>
      </c>
      <c r="E333" s="29" t="s">
        <v>1112</v>
      </c>
      <c r="F333" s="58"/>
      <c r="G333" s="35"/>
      <c r="H333" s="35">
        <f>H334</f>
        <v>77.63</v>
      </c>
      <c r="I333" s="35">
        <f t="shared" ref="I333:K334" si="156">I334</f>
        <v>77.63</v>
      </c>
      <c r="J333" s="35">
        <f t="shared" si="156"/>
        <v>77.63</v>
      </c>
      <c r="K333" s="35">
        <f t="shared" si="156"/>
        <v>77.63</v>
      </c>
      <c r="L333" s="35">
        <f t="shared" si="136"/>
        <v>100</v>
      </c>
      <c r="M333" s="35">
        <f t="shared" si="137"/>
        <v>100</v>
      </c>
    </row>
    <row r="334" spans="1:13">
      <c r="A334" s="59" t="s">
        <v>72</v>
      </c>
      <c r="B334" s="28" t="s">
        <v>163</v>
      </c>
      <c r="C334" s="28" t="s">
        <v>93</v>
      </c>
      <c r="D334" s="28" t="s">
        <v>106</v>
      </c>
      <c r="E334" s="29" t="s">
        <v>1112</v>
      </c>
      <c r="F334" s="58">
        <v>800</v>
      </c>
      <c r="G334" s="35"/>
      <c r="H334" s="35">
        <f>H335</f>
        <v>77.63</v>
      </c>
      <c r="I334" s="35">
        <f t="shared" si="156"/>
        <v>77.63</v>
      </c>
      <c r="J334" s="35">
        <f t="shared" si="156"/>
        <v>77.63</v>
      </c>
      <c r="K334" s="35">
        <f t="shared" si="156"/>
        <v>77.63</v>
      </c>
      <c r="L334" s="35">
        <f t="shared" si="136"/>
        <v>100</v>
      </c>
      <c r="M334" s="35">
        <f t="shared" si="137"/>
        <v>100</v>
      </c>
    </row>
    <row r="335" spans="1:13">
      <c r="A335" s="59" t="s">
        <v>84</v>
      </c>
      <c r="B335" s="28" t="s">
        <v>163</v>
      </c>
      <c r="C335" s="28" t="s">
        <v>93</v>
      </c>
      <c r="D335" s="28" t="s">
        <v>106</v>
      </c>
      <c r="E335" s="29" t="s">
        <v>1112</v>
      </c>
      <c r="F335" s="58">
        <v>830</v>
      </c>
      <c r="G335" s="35"/>
      <c r="H335" s="35">
        <v>77.63</v>
      </c>
      <c r="I335" s="35">
        <v>77.63</v>
      </c>
      <c r="J335" s="35">
        <v>77.63</v>
      </c>
      <c r="K335" s="35">
        <v>77.63</v>
      </c>
      <c r="L335" s="35">
        <f t="shared" si="136"/>
        <v>100</v>
      </c>
      <c r="M335" s="35">
        <f t="shared" si="137"/>
        <v>100</v>
      </c>
    </row>
    <row r="336" spans="1:13" ht="51">
      <c r="A336" s="59" t="s">
        <v>216</v>
      </c>
      <c r="B336" s="28" t="s">
        <v>163</v>
      </c>
      <c r="C336" s="28" t="s">
        <v>93</v>
      </c>
      <c r="D336" s="28" t="s">
        <v>106</v>
      </c>
      <c r="E336" s="28" t="s">
        <v>217</v>
      </c>
      <c r="F336" s="58" t="s">
        <v>0</v>
      </c>
      <c r="G336" s="35">
        <f>G337</f>
        <v>71526.600000000006</v>
      </c>
      <c r="H336" s="35">
        <f t="shared" ref="H336:K337" si="157">H337</f>
        <v>71526.600000000006</v>
      </c>
      <c r="I336" s="35">
        <f t="shared" si="157"/>
        <v>61452.822910000003</v>
      </c>
      <c r="J336" s="35">
        <f t="shared" si="157"/>
        <v>61452.822910000003</v>
      </c>
      <c r="K336" s="35">
        <f t="shared" si="157"/>
        <v>61452.822910000003</v>
      </c>
      <c r="L336" s="35">
        <f t="shared" si="136"/>
        <v>85.916040899469564</v>
      </c>
      <c r="M336" s="35">
        <f t="shared" si="137"/>
        <v>100</v>
      </c>
    </row>
    <row r="337" spans="1:13">
      <c r="A337" s="59" t="s">
        <v>72</v>
      </c>
      <c r="B337" s="28" t="s">
        <v>163</v>
      </c>
      <c r="C337" s="28" t="s">
        <v>93</v>
      </c>
      <c r="D337" s="28" t="s">
        <v>106</v>
      </c>
      <c r="E337" s="28" t="s">
        <v>217</v>
      </c>
      <c r="F337" s="28" t="s">
        <v>73</v>
      </c>
      <c r="G337" s="35">
        <f>G338</f>
        <v>71526.600000000006</v>
      </c>
      <c r="H337" s="35">
        <f t="shared" si="157"/>
        <v>71526.600000000006</v>
      </c>
      <c r="I337" s="35">
        <f t="shared" si="157"/>
        <v>61452.822910000003</v>
      </c>
      <c r="J337" s="35">
        <f t="shared" si="157"/>
        <v>61452.822910000003</v>
      </c>
      <c r="K337" s="35">
        <f t="shared" si="157"/>
        <v>61452.822910000003</v>
      </c>
      <c r="L337" s="35">
        <f t="shared" si="136"/>
        <v>85.916040899469564</v>
      </c>
      <c r="M337" s="35">
        <f t="shared" si="137"/>
        <v>100</v>
      </c>
    </row>
    <row r="338" spans="1:13" ht="51">
      <c r="A338" s="76" t="s">
        <v>218</v>
      </c>
      <c r="B338" s="28" t="s">
        <v>163</v>
      </c>
      <c r="C338" s="28" t="s">
        <v>93</v>
      </c>
      <c r="D338" s="28" t="s">
        <v>106</v>
      </c>
      <c r="E338" s="28" t="s">
        <v>217</v>
      </c>
      <c r="F338" s="28" t="s">
        <v>219</v>
      </c>
      <c r="G338" s="35">
        <v>71526.600000000006</v>
      </c>
      <c r="H338" s="35">
        <v>71526.600000000006</v>
      </c>
      <c r="I338" s="35">
        <v>61452.822910000003</v>
      </c>
      <c r="J338" s="35">
        <v>61452.822910000003</v>
      </c>
      <c r="K338" s="35">
        <v>61452.822910000003</v>
      </c>
      <c r="L338" s="35">
        <f t="shared" si="136"/>
        <v>85.916040899469564</v>
      </c>
      <c r="M338" s="35">
        <f t="shared" si="137"/>
        <v>100</v>
      </c>
    </row>
    <row r="339" spans="1:13" ht="63.75">
      <c r="A339" s="59" t="s">
        <v>220</v>
      </c>
      <c r="B339" s="28" t="s">
        <v>163</v>
      </c>
      <c r="C339" s="28" t="s">
        <v>93</v>
      </c>
      <c r="D339" s="28" t="s">
        <v>106</v>
      </c>
      <c r="E339" s="28" t="s">
        <v>221</v>
      </c>
      <c r="F339" s="58" t="s">
        <v>0</v>
      </c>
      <c r="G339" s="35">
        <f>G340</f>
        <v>889292.6</v>
      </c>
      <c r="H339" s="35">
        <f t="shared" ref="H339:K340" si="158">H340</f>
        <v>889282.09600000002</v>
      </c>
      <c r="I339" s="35">
        <f t="shared" si="158"/>
        <v>794743.68003000005</v>
      </c>
      <c r="J339" s="35">
        <f t="shared" si="158"/>
        <v>794743.68003000005</v>
      </c>
      <c r="K339" s="35">
        <f t="shared" si="158"/>
        <v>794743.68003000005</v>
      </c>
      <c r="L339" s="35">
        <f t="shared" si="136"/>
        <v>89.369130853388953</v>
      </c>
      <c r="M339" s="35">
        <f t="shared" si="137"/>
        <v>100</v>
      </c>
    </row>
    <row r="340" spans="1:13">
      <c r="A340" s="59" t="s">
        <v>72</v>
      </c>
      <c r="B340" s="28" t="s">
        <v>163</v>
      </c>
      <c r="C340" s="28" t="s">
        <v>93</v>
      </c>
      <c r="D340" s="28" t="s">
        <v>106</v>
      </c>
      <c r="E340" s="28" t="s">
        <v>221</v>
      </c>
      <c r="F340" s="28" t="s">
        <v>73</v>
      </c>
      <c r="G340" s="35">
        <f>G341</f>
        <v>889292.6</v>
      </c>
      <c r="H340" s="35">
        <f t="shared" si="158"/>
        <v>889282.09600000002</v>
      </c>
      <c r="I340" s="35">
        <f t="shared" si="158"/>
        <v>794743.68003000005</v>
      </c>
      <c r="J340" s="35">
        <f t="shared" si="158"/>
        <v>794743.68003000005</v>
      </c>
      <c r="K340" s="35">
        <f t="shared" si="158"/>
        <v>794743.68003000005</v>
      </c>
      <c r="L340" s="35">
        <f t="shared" si="136"/>
        <v>89.369130853388953</v>
      </c>
      <c r="M340" s="35">
        <f t="shared" si="137"/>
        <v>100</v>
      </c>
    </row>
    <row r="341" spans="1:13" ht="51">
      <c r="A341" s="59" t="s">
        <v>218</v>
      </c>
      <c r="B341" s="28" t="s">
        <v>163</v>
      </c>
      <c r="C341" s="28" t="s">
        <v>93</v>
      </c>
      <c r="D341" s="28" t="s">
        <v>106</v>
      </c>
      <c r="E341" s="28" t="s">
        <v>221</v>
      </c>
      <c r="F341" s="28" t="s">
        <v>219</v>
      </c>
      <c r="G341" s="35">
        <v>889292.6</v>
      </c>
      <c r="H341" s="35">
        <v>889282.09600000002</v>
      </c>
      <c r="I341" s="35">
        <v>794743.68003000005</v>
      </c>
      <c r="J341" s="35">
        <v>794743.68003000005</v>
      </c>
      <c r="K341" s="35">
        <v>794743.68003000005</v>
      </c>
      <c r="L341" s="35">
        <f t="shared" si="136"/>
        <v>89.369130853388953</v>
      </c>
      <c r="M341" s="35">
        <f t="shared" si="137"/>
        <v>100</v>
      </c>
    </row>
    <row r="342" spans="1:13" ht="63.75">
      <c r="A342" s="59" t="s">
        <v>222</v>
      </c>
      <c r="B342" s="28" t="s">
        <v>163</v>
      </c>
      <c r="C342" s="28" t="s">
        <v>93</v>
      </c>
      <c r="D342" s="28" t="s">
        <v>106</v>
      </c>
      <c r="E342" s="28" t="s">
        <v>223</v>
      </c>
      <c r="F342" s="58" t="s">
        <v>0</v>
      </c>
      <c r="G342" s="35">
        <f>G343</f>
        <v>1442194</v>
      </c>
      <c r="H342" s="35">
        <f t="shared" ref="H342:K343" si="159">H343</f>
        <v>1442156.87956</v>
      </c>
      <c r="I342" s="35">
        <f t="shared" si="159"/>
        <v>1159661.5078199999</v>
      </c>
      <c r="J342" s="35">
        <f t="shared" si="159"/>
        <v>1159661.5078199999</v>
      </c>
      <c r="K342" s="35">
        <f t="shared" si="159"/>
        <v>1159661.5078199999</v>
      </c>
      <c r="L342" s="35">
        <f t="shared" si="136"/>
        <v>80.411605994890863</v>
      </c>
      <c r="M342" s="35">
        <f t="shared" si="137"/>
        <v>100</v>
      </c>
    </row>
    <row r="343" spans="1:13">
      <c r="A343" s="59" t="s">
        <v>72</v>
      </c>
      <c r="B343" s="28" t="s">
        <v>163</v>
      </c>
      <c r="C343" s="28" t="s">
        <v>93</v>
      </c>
      <c r="D343" s="28" t="s">
        <v>106</v>
      </c>
      <c r="E343" s="28" t="s">
        <v>223</v>
      </c>
      <c r="F343" s="28" t="s">
        <v>73</v>
      </c>
      <c r="G343" s="35">
        <f>G344</f>
        <v>1442194</v>
      </c>
      <c r="H343" s="35">
        <f t="shared" si="159"/>
        <v>1442156.87956</v>
      </c>
      <c r="I343" s="35">
        <f t="shared" si="159"/>
        <v>1159661.5078199999</v>
      </c>
      <c r="J343" s="35">
        <f t="shared" si="159"/>
        <v>1159661.5078199999</v>
      </c>
      <c r="K343" s="35">
        <f t="shared" si="159"/>
        <v>1159661.5078199999</v>
      </c>
      <c r="L343" s="35">
        <f t="shared" si="136"/>
        <v>80.411605994890863</v>
      </c>
      <c r="M343" s="35">
        <f t="shared" si="137"/>
        <v>100</v>
      </c>
    </row>
    <row r="344" spans="1:13" ht="51">
      <c r="A344" s="59" t="s">
        <v>218</v>
      </c>
      <c r="B344" s="28" t="s">
        <v>163</v>
      </c>
      <c r="C344" s="28" t="s">
        <v>93</v>
      </c>
      <c r="D344" s="28" t="s">
        <v>106</v>
      </c>
      <c r="E344" s="28" t="s">
        <v>223</v>
      </c>
      <c r="F344" s="28" t="s">
        <v>219</v>
      </c>
      <c r="G344" s="35">
        <v>1442194</v>
      </c>
      <c r="H344" s="35">
        <v>1442156.87956</v>
      </c>
      <c r="I344" s="35">
        <v>1159661.5078199999</v>
      </c>
      <c r="J344" s="35">
        <v>1159661.5078199999</v>
      </c>
      <c r="K344" s="35">
        <v>1159661.5078199999</v>
      </c>
      <c r="L344" s="35">
        <f t="shared" si="136"/>
        <v>80.411605994890863</v>
      </c>
      <c r="M344" s="35">
        <f t="shared" si="137"/>
        <v>100</v>
      </c>
    </row>
    <row r="345" spans="1:13" ht="51">
      <c r="A345" s="59" t="s">
        <v>224</v>
      </c>
      <c r="B345" s="28" t="s">
        <v>163</v>
      </c>
      <c r="C345" s="28" t="s">
        <v>93</v>
      </c>
      <c r="D345" s="28" t="s">
        <v>106</v>
      </c>
      <c r="E345" s="28" t="s">
        <v>225</v>
      </c>
      <c r="F345" s="58" t="s">
        <v>0</v>
      </c>
      <c r="G345" s="35">
        <f>G346</f>
        <v>96964.5</v>
      </c>
      <c r="H345" s="35">
        <f t="shared" ref="H345:K346" si="160">H346</f>
        <v>96964.5</v>
      </c>
      <c r="I345" s="35">
        <f t="shared" si="160"/>
        <v>68411.965270000001</v>
      </c>
      <c r="J345" s="35">
        <f t="shared" si="160"/>
        <v>68411.965270000001</v>
      </c>
      <c r="K345" s="35">
        <f t="shared" si="160"/>
        <v>68411.965270000001</v>
      </c>
      <c r="L345" s="35">
        <f t="shared" si="136"/>
        <v>70.553620417781772</v>
      </c>
      <c r="M345" s="35">
        <f t="shared" si="137"/>
        <v>100</v>
      </c>
    </row>
    <row r="346" spans="1:13">
      <c r="A346" s="59" t="s">
        <v>72</v>
      </c>
      <c r="B346" s="28" t="s">
        <v>163</v>
      </c>
      <c r="C346" s="28" t="s">
        <v>93</v>
      </c>
      <c r="D346" s="28" t="s">
        <v>106</v>
      </c>
      <c r="E346" s="28" t="s">
        <v>225</v>
      </c>
      <c r="F346" s="28" t="s">
        <v>73</v>
      </c>
      <c r="G346" s="35">
        <f>G347</f>
        <v>96964.5</v>
      </c>
      <c r="H346" s="35">
        <f t="shared" si="160"/>
        <v>96964.5</v>
      </c>
      <c r="I346" s="35">
        <f t="shared" si="160"/>
        <v>68411.965270000001</v>
      </c>
      <c r="J346" s="35">
        <f t="shared" si="160"/>
        <v>68411.965270000001</v>
      </c>
      <c r="K346" s="35">
        <f t="shared" si="160"/>
        <v>68411.965270000001</v>
      </c>
      <c r="L346" s="35">
        <f t="shared" si="136"/>
        <v>70.553620417781772</v>
      </c>
      <c r="M346" s="35">
        <f t="shared" si="137"/>
        <v>100</v>
      </c>
    </row>
    <row r="347" spans="1:13" ht="51">
      <c r="A347" s="59" t="s">
        <v>218</v>
      </c>
      <c r="B347" s="28" t="s">
        <v>163</v>
      </c>
      <c r="C347" s="28" t="s">
        <v>93</v>
      </c>
      <c r="D347" s="28" t="s">
        <v>106</v>
      </c>
      <c r="E347" s="28" t="s">
        <v>225</v>
      </c>
      <c r="F347" s="28" t="s">
        <v>219</v>
      </c>
      <c r="G347" s="35">
        <v>96964.5</v>
      </c>
      <c r="H347" s="35">
        <v>96964.5</v>
      </c>
      <c r="I347" s="35">
        <v>68411.965270000001</v>
      </c>
      <c r="J347" s="35">
        <v>68411.965270000001</v>
      </c>
      <c r="K347" s="35">
        <v>68411.965270000001</v>
      </c>
      <c r="L347" s="35">
        <f t="shared" si="136"/>
        <v>70.553620417781772</v>
      </c>
      <c r="M347" s="35">
        <f t="shared" si="137"/>
        <v>100</v>
      </c>
    </row>
    <row r="348" spans="1:13" ht="51">
      <c r="A348" s="59" t="s">
        <v>226</v>
      </c>
      <c r="B348" s="28" t="s">
        <v>163</v>
      </c>
      <c r="C348" s="28" t="s">
        <v>93</v>
      </c>
      <c r="D348" s="28" t="s">
        <v>106</v>
      </c>
      <c r="E348" s="28" t="s">
        <v>227</v>
      </c>
      <c r="F348" s="58" t="s">
        <v>0</v>
      </c>
      <c r="G348" s="35">
        <f>G349</f>
        <v>444042.1</v>
      </c>
      <c r="H348" s="35">
        <f t="shared" ref="H348:K349" si="161">H349</f>
        <v>444012.1</v>
      </c>
      <c r="I348" s="35">
        <f t="shared" si="161"/>
        <v>336992.06056000001</v>
      </c>
      <c r="J348" s="35">
        <f t="shared" si="161"/>
        <v>336992.06056000001</v>
      </c>
      <c r="K348" s="35">
        <f t="shared" si="161"/>
        <v>336992.06056000001</v>
      </c>
      <c r="L348" s="35">
        <f t="shared" si="136"/>
        <v>75.897044373340279</v>
      </c>
      <c r="M348" s="35">
        <f t="shared" si="137"/>
        <v>100</v>
      </c>
    </row>
    <row r="349" spans="1:13">
      <c r="A349" s="59" t="s">
        <v>72</v>
      </c>
      <c r="B349" s="28" t="s">
        <v>163</v>
      </c>
      <c r="C349" s="28" t="s">
        <v>93</v>
      </c>
      <c r="D349" s="28" t="s">
        <v>106</v>
      </c>
      <c r="E349" s="28" t="s">
        <v>227</v>
      </c>
      <c r="F349" s="28" t="s">
        <v>73</v>
      </c>
      <c r="G349" s="35">
        <f>G350</f>
        <v>444042.1</v>
      </c>
      <c r="H349" s="35">
        <f t="shared" si="161"/>
        <v>444012.1</v>
      </c>
      <c r="I349" s="35">
        <f t="shared" si="161"/>
        <v>336992.06056000001</v>
      </c>
      <c r="J349" s="35">
        <f t="shared" si="161"/>
        <v>336992.06056000001</v>
      </c>
      <c r="K349" s="35">
        <f t="shared" si="161"/>
        <v>336992.06056000001</v>
      </c>
      <c r="L349" s="35">
        <f t="shared" si="136"/>
        <v>75.897044373340279</v>
      </c>
      <c r="M349" s="35">
        <f t="shared" si="137"/>
        <v>100</v>
      </c>
    </row>
    <row r="350" spans="1:13" ht="51">
      <c r="A350" s="59" t="s">
        <v>218</v>
      </c>
      <c r="B350" s="28" t="s">
        <v>163</v>
      </c>
      <c r="C350" s="28" t="s">
        <v>93</v>
      </c>
      <c r="D350" s="28" t="s">
        <v>106</v>
      </c>
      <c r="E350" s="28" t="s">
        <v>227</v>
      </c>
      <c r="F350" s="28" t="s">
        <v>219</v>
      </c>
      <c r="G350" s="35">
        <v>444042.1</v>
      </c>
      <c r="H350" s="35">
        <v>444012.1</v>
      </c>
      <c r="I350" s="35">
        <v>336992.06056000001</v>
      </c>
      <c r="J350" s="35">
        <v>336992.06056000001</v>
      </c>
      <c r="K350" s="35">
        <v>336992.06056000001</v>
      </c>
      <c r="L350" s="35">
        <f t="shared" si="136"/>
        <v>75.897044373340279</v>
      </c>
      <c r="M350" s="35">
        <f t="shared" si="137"/>
        <v>100</v>
      </c>
    </row>
    <row r="351" spans="1:13" ht="39.75" customHeight="1">
      <c r="A351" s="59" t="s">
        <v>122</v>
      </c>
      <c r="B351" s="28" t="s">
        <v>163</v>
      </c>
      <c r="C351" s="28" t="s">
        <v>93</v>
      </c>
      <c r="D351" s="28" t="s">
        <v>106</v>
      </c>
      <c r="E351" s="29" t="s">
        <v>1113</v>
      </c>
      <c r="F351" s="28"/>
      <c r="G351" s="35">
        <v>0</v>
      </c>
      <c r="H351" s="35">
        <f>H352</f>
        <v>8250</v>
      </c>
      <c r="I351" s="35">
        <f t="shared" ref="I351:K353" si="162">I352</f>
        <v>8250</v>
      </c>
      <c r="J351" s="35">
        <f t="shared" si="162"/>
        <v>8250</v>
      </c>
      <c r="K351" s="35">
        <f t="shared" si="162"/>
        <v>8250</v>
      </c>
      <c r="L351" s="35">
        <f t="shared" si="136"/>
        <v>100</v>
      </c>
      <c r="M351" s="35">
        <f t="shared" si="137"/>
        <v>100</v>
      </c>
    </row>
    <row r="352" spans="1:13" ht="45" customHeight="1">
      <c r="A352" s="59" t="s">
        <v>1110</v>
      </c>
      <c r="B352" s="28" t="s">
        <v>163</v>
      </c>
      <c r="C352" s="28" t="s">
        <v>93</v>
      </c>
      <c r="D352" s="28" t="s">
        <v>106</v>
      </c>
      <c r="E352" s="29" t="s">
        <v>1111</v>
      </c>
      <c r="F352" s="28"/>
      <c r="G352" s="35">
        <v>0</v>
      </c>
      <c r="H352" s="35">
        <f>H353</f>
        <v>8250</v>
      </c>
      <c r="I352" s="35">
        <f t="shared" si="162"/>
        <v>8250</v>
      </c>
      <c r="J352" s="35">
        <f t="shared" si="162"/>
        <v>8250</v>
      </c>
      <c r="K352" s="35">
        <f t="shared" si="162"/>
        <v>8250</v>
      </c>
      <c r="L352" s="35">
        <f t="shared" si="136"/>
        <v>100</v>
      </c>
      <c r="M352" s="35">
        <f t="shared" si="137"/>
        <v>100</v>
      </c>
    </row>
    <row r="353" spans="1:13">
      <c r="A353" s="59" t="s">
        <v>26</v>
      </c>
      <c r="B353" s="28" t="s">
        <v>163</v>
      </c>
      <c r="C353" s="28" t="s">
        <v>93</v>
      </c>
      <c r="D353" s="28" t="s">
        <v>106</v>
      </c>
      <c r="E353" s="29" t="s">
        <v>1111</v>
      </c>
      <c r="F353" s="28">
        <v>500</v>
      </c>
      <c r="G353" s="35">
        <v>0</v>
      </c>
      <c r="H353" s="35">
        <f>H354</f>
        <v>8250</v>
      </c>
      <c r="I353" s="35">
        <f t="shared" si="162"/>
        <v>8250</v>
      </c>
      <c r="J353" s="35">
        <f t="shared" si="162"/>
        <v>8250</v>
      </c>
      <c r="K353" s="35">
        <f t="shared" si="162"/>
        <v>8250</v>
      </c>
      <c r="L353" s="35">
        <f t="shared" si="136"/>
        <v>100</v>
      </c>
      <c r="M353" s="35">
        <f t="shared" si="137"/>
        <v>100</v>
      </c>
    </row>
    <row r="354" spans="1:13">
      <c r="A354" s="59" t="s">
        <v>56</v>
      </c>
      <c r="B354" s="28" t="s">
        <v>163</v>
      </c>
      <c r="C354" s="28" t="s">
        <v>93</v>
      </c>
      <c r="D354" s="28" t="s">
        <v>106</v>
      </c>
      <c r="E354" s="29" t="s">
        <v>1111</v>
      </c>
      <c r="F354" s="28">
        <v>520</v>
      </c>
      <c r="G354" s="35">
        <v>0</v>
      </c>
      <c r="H354" s="35">
        <v>8250</v>
      </c>
      <c r="I354" s="35">
        <v>8250</v>
      </c>
      <c r="J354" s="35">
        <v>8250</v>
      </c>
      <c r="K354" s="35">
        <v>8250</v>
      </c>
      <c r="L354" s="35">
        <f t="shared" si="136"/>
        <v>100</v>
      </c>
      <c r="M354" s="35">
        <f t="shared" si="137"/>
        <v>100</v>
      </c>
    </row>
    <row r="355" spans="1:13">
      <c r="A355" s="62" t="s">
        <v>612</v>
      </c>
      <c r="B355" s="28" t="s">
        <v>163</v>
      </c>
      <c r="C355" s="28" t="s">
        <v>93</v>
      </c>
      <c r="D355" s="28" t="s">
        <v>106</v>
      </c>
      <c r="E355" s="29" t="s">
        <v>613</v>
      </c>
      <c r="F355" s="28"/>
      <c r="G355" s="35">
        <v>0</v>
      </c>
      <c r="H355" s="35">
        <f>H356</f>
        <v>8872.8141199999991</v>
      </c>
      <c r="I355" s="35">
        <f t="shared" ref="I355:K356" si="163">I356</f>
        <v>8872.8141199999991</v>
      </c>
      <c r="J355" s="35">
        <f t="shared" si="163"/>
        <v>8872.8141199999991</v>
      </c>
      <c r="K355" s="35">
        <f t="shared" si="163"/>
        <v>8872.8141199999991</v>
      </c>
      <c r="L355" s="35">
        <f t="shared" ref="L355:L418" si="164">K355/H355*100</f>
        <v>100</v>
      </c>
      <c r="M355" s="35">
        <f t="shared" ref="M355:M415" si="165">K355/I355*100</f>
        <v>100</v>
      </c>
    </row>
    <row r="356" spans="1:13">
      <c r="A356" s="59" t="s">
        <v>612</v>
      </c>
      <c r="B356" s="28" t="s">
        <v>163</v>
      </c>
      <c r="C356" s="28" t="s">
        <v>93</v>
      </c>
      <c r="D356" s="28" t="s">
        <v>106</v>
      </c>
      <c r="E356" s="29" t="s">
        <v>614</v>
      </c>
      <c r="F356" s="28"/>
      <c r="G356" s="35">
        <v>0</v>
      </c>
      <c r="H356" s="35">
        <f>H357</f>
        <v>8872.8141199999991</v>
      </c>
      <c r="I356" s="35">
        <f t="shared" si="163"/>
        <v>8872.8141199999991</v>
      </c>
      <c r="J356" s="35">
        <f t="shared" si="163"/>
        <v>8872.8141199999991</v>
      </c>
      <c r="K356" s="35">
        <f t="shared" si="163"/>
        <v>8872.8141199999991</v>
      </c>
      <c r="L356" s="35">
        <f t="shared" si="164"/>
        <v>100</v>
      </c>
      <c r="M356" s="35">
        <f t="shared" si="165"/>
        <v>100</v>
      </c>
    </row>
    <row r="357" spans="1:13">
      <c r="A357" s="59" t="s">
        <v>26</v>
      </c>
      <c r="B357" s="28" t="s">
        <v>163</v>
      </c>
      <c r="C357" s="28" t="s">
        <v>93</v>
      </c>
      <c r="D357" s="28" t="s">
        <v>106</v>
      </c>
      <c r="E357" s="29" t="s">
        <v>614</v>
      </c>
      <c r="F357" s="28">
        <v>500</v>
      </c>
      <c r="G357" s="35">
        <v>0</v>
      </c>
      <c r="H357" s="35">
        <f>H358</f>
        <v>8872.8141199999991</v>
      </c>
      <c r="I357" s="35">
        <f>I358</f>
        <v>8872.8141199999991</v>
      </c>
      <c r="J357" s="35">
        <f>J358</f>
        <v>8872.8141199999991</v>
      </c>
      <c r="K357" s="35">
        <f>K358</f>
        <v>8872.8141199999991</v>
      </c>
      <c r="L357" s="35">
        <f t="shared" si="164"/>
        <v>100</v>
      </c>
      <c r="M357" s="35">
        <f t="shared" si="165"/>
        <v>100</v>
      </c>
    </row>
    <row r="358" spans="1:13">
      <c r="A358" s="68" t="s">
        <v>352</v>
      </c>
      <c r="B358" s="28" t="s">
        <v>163</v>
      </c>
      <c r="C358" s="28" t="s">
        <v>93</v>
      </c>
      <c r="D358" s="28" t="s">
        <v>106</v>
      </c>
      <c r="E358" s="29" t="s">
        <v>614</v>
      </c>
      <c r="F358" s="58">
        <v>540</v>
      </c>
      <c r="G358" s="61">
        <v>0</v>
      </c>
      <c r="H358" s="61">
        <v>8872.8141199999991</v>
      </c>
      <c r="I358" s="61">
        <v>8872.8141199999991</v>
      </c>
      <c r="J358" s="61">
        <v>8872.8141199999991</v>
      </c>
      <c r="K358" s="61">
        <v>8872.8141199999991</v>
      </c>
      <c r="L358" s="35">
        <f t="shared" si="164"/>
        <v>100</v>
      </c>
      <c r="M358" s="35">
        <f t="shared" si="165"/>
        <v>100</v>
      </c>
    </row>
    <row r="359" spans="1:13">
      <c r="A359" s="68" t="s">
        <v>1114</v>
      </c>
      <c r="B359" s="28" t="s">
        <v>163</v>
      </c>
      <c r="C359" s="28" t="s">
        <v>93</v>
      </c>
      <c r="D359" s="28" t="s">
        <v>150</v>
      </c>
      <c r="E359" s="29"/>
      <c r="F359" s="58"/>
      <c r="G359" s="61">
        <v>0</v>
      </c>
      <c r="H359" s="61">
        <f>H360</f>
        <v>16271.829030000001</v>
      </c>
      <c r="I359" s="61">
        <f t="shared" ref="I359:K362" si="166">I360</f>
        <v>16271.829030000001</v>
      </c>
      <c r="J359" s="61">
        <f t="shared" si="166"/>
        <v>16271.829030000001</v>
      </c>
      <c r="K359" s="61">
        <f t="shared" si="166"/>
        <v>14114.490680000001</v>
      </c>
      <c r="L359" s="35">
        <f t="shared" si="164"/>
        <v>86.741881653116167</v>
      </c>
      <c r="M359" s="35">
        <f t="shared" si="165"/>
        <v>86.741881653116167</v>
      </c>
    </row>
    <row r="360" spans="1:13">
      <c r="A360" s="62" t="s">
        <v>612</v>
      </c>
      <c r="B360" s="28" t="s">
        <v>163</v>
      </c>
      <c r="C360" s="28" t="s">
        <v>93</v>
      </c>
      <c r="D360" s="28" t="s">
        <v>150</v>
      </c>
      <c r="E360" s="29" t="s">
        <v>613</v>
      </c>
      <c r="F360" s="58"/>
      <c r="G360" s="61">
        <v>0</v>
      </c>
      <c r="H360" s="61">
        <f>H361</f>
        <v>16271.829030000001</v>
      </c>
      <c r="I360" s="61">
        <f t="shared" si="166"/>
        <v>16271.829030000001</v>
      </c>
      <c r="J360" s="61">
        <f t="shared" si="166"/>
        <v>16271.829030000001</v>
      </c>
      <c r="K360" s="61">
        <f t="shared" si="166"/>
        <v>14114.490680000001</v>
      </c>
      <c r="L360" s="35">
        <f t="shared" si="164"/>
        <v>86.741881653116167</v>
      </c>
      <c r="M360" s="35">
        <f t="shared" si="165"/>
        <v>86.741881653116167</v>
      </c>
    </row>
    <row r="361" spans="1:13">
      <c r="A361" s="59" t="s">
        <v>612</v>
      </c>
      <c r="B361" s="28" t="s">
        <v>163</v>
      </c>
      <c r="C361" s="28" t="s">
        <v>93</v>
      </c>
      <c r="D361" s="28" t="s">
        <v>150</v>
      </c>
      <c r="E361" s="29" t="s">
        <v>614</v>
      </c>
      <c r="F361" s="58"/>
      <c r="G361" s="61">
        <v>0</v>
      </c>
      <c r="H361" s="61">
        <f>H362</f>
        <v>16271.829030000001</v>
      </c>
      <c r="I361" s="61">
        <f t="shared" si="166"/>
        <v>16271.829030000001</v>
      </c>
      <c r="J361" s="61">
        <f t="shared" si="166"/>
        <v>16271.829030000001</v>
      </c>
      <c r="K361" s="61">
        <f t="shared" si="166"/>
        <v>14114.490680000001</v>
      </c>
      <c r="L361" s="35">
        <f t="shared" si="164"/>
        <v>86.741881653116167</v>
      </c>
      <c r="M361" s="35">
        <f t="shared" si="165"/>
        <v>86.741881653116167</v>
      </c>
    </row>
    <row r="362" spans="1:13">
      <c r="A362" s="59" t="s">
        <v>26</v>
      </c>
      <c r="B362" s="28" t="s">
        <v>163</v>
      </c>
      <c r="C362" s="28" t="s">
        <v>93</v>
      </c>
      <c r="D362" s="28" t="s">
        <v>150</v>
      </c>
      <c r="E362" s="29" t="s">
        <v>614</v>
      </c>
      <c r="F362" s="28">
        <v>500</v>
      </c>
      <c r="G362" s="61">
        <v>0</v>
      </c>
      <c r="H362" s="61">
        <f>H363</f>
        <v>16271.829030000001</v>
      </c>
      <c r="I362" s="61">
        <f t="shared" si="166"/>
        <v>16271.829030000001</v>
      </c>
      <c r="J362" s="61">
        <f t="shared" si="166"/>
        <v>16271.829030000001</v>
      </c>
      <c r="K362" s="61">
        <f t="shared" si="166"/>
        <v>14114.490680000001</v>
      </c>
      <c r="L362" s="35">
        <f t="shared" si="164"/>
        <v>86.741881653116167</v>
      </c>
      <c r="M362" s="35">
        <f t="shared" si="165"/>
        <v>86.741881653116167</v>
      </c>
    </row>
    <row r="363" spans="1:13">
      <c r="A363" s="68" t="s">
        <v>352</v>
      </c>
      <c r="B363" s="28" t="s">
        <v>163</v>
      </c>
      <c r="C363" s="28" t="s">
        <v>93</v>
      </c>
      <c r="D363" s="28" t="s">
        <v>150</v>
      </c>
      <c r="E363" s="29" t="s">
        <v>614</v>
      </c>
      <c r="F363" s="58">
        <v>540</v>
      </c>
      <c r="G363" s="61">
        <v>0</v>
      </c>
      <c r="H363" s="61">
        <v>16271.829030000001</v>
      </c>
      <c r="I363" s="61">
        <v>16271.829030000001</v>
      </c>
      <c r="J363" s="61">
        <v>16271.829030000001</v>
      </c>
      <c r="K363" s="61">
        <v>14114.490680000001</v>
      </c>
      <c r="L363" s="35">
        <f t="shared" si="164"/>
        <v>86.741881653116167</v>
      </c>
      <c r="M363" s="35">
        <f t="shared" si="165"/>
        <v>86.741881653116167</v>
      </c>
    </row>
    <row r="364" spans="1:13" ht="25.5">
      <c r="A364" s="68" t="s">
        <v>1065</v>
      </c>
      <c r="B364" s="28" t="s">
        <v>163</v>
      </c>
      <c r="C364" s="28" t="s">
        <v>93</v>
      </c>
      <c r="D364" s="67" t="s">
        <v>93</v>
      </c>
      <c r="E364" s="29"/>
      <c r="F364" s="58"/>
      <c r="G364" s="61"/>
      <c r="H364" s="35">
        <f>H365</f>
        <v>1400</v>
      </c>
      <c r="I364" s="35">
        <f t="shared" ref="I364:K367" si="167">I365</f>
        <v>1400</v>
      </c>
      <c r="J364" s="35">
        <f t="shared" si="167"/>
        <v>1400</v>
      </c>
      <c r="K364" s="35">
        <f t="shared" si="167"/>
        <v>1400</v>
      </c>
      <c r="L364" s="35">
        <f t="shared" si="164"/>
        <v>100</v>
      </c>
      <c r="M364" s="35">
        <f t="shared" si="165"/>
        <v>100</v>
      </c>
    </row>
    <row r="365" spans="1:13">
      <c r="A365" s="62" t="s">
        <v>612</v>
      </c>
      <c r="B365" s="28" t="s">
        <v>163</v>
      </c>
      <c r="C365" s="28" t="s">
        <v>93</v>
      </c>
      <c r="D365" s="67" t="s">
        <v>93</v>
      </c>
      <c r="E365" s="29" t="s">
        <v>613</v>
      </c>
      <c r="F365" s="58"/>
      <c r="G365" s="61"/>
      <c r="H365" s="61">
        <f>H366</f>
        <v>1400</v>
      </c>
      <c r="I365" s="61">
        <f t="shared" si="167"/>
        <v>1400</v>
      </c>
      <c r="J365" s="61">
        <f t="shared" si="167"/>
        <v>1400</v>
      </c>
      <c r="K365" s="61">
        <f t="shared" si="167"/>
        <v>1400</v>
      </c>
      <c r="L365" s="35">
        <f t="shared" si="164"/>
        <v>100</v>
      </c>
      <c r="M365" s="35">
        <f t="shared" si="165"/>
        <v>100</v>
      </c>
    </row>
    <row r="366" spans="1:13">
      <c r="A366" s="59" t="s">
        <v>612</v>
      </c>
      <c r="B366" s="28" t="s">
        <v>163</v>
      </c>
      <c r="C366" s="28" t="s">
        <v>93</v>
      </c>
      <c r="D366" s="67" t="s">
        <v>93</v>
      </c>
      <c r="E366" s="29" t="s">
        <v>614</v>
      </c>
      <c r="F366" s="58"/>
      <c r="G366" s="61"/>
      <c r="H366" s="61">
        <f>H367</f>
        <v>1400</v>
      </c>
      <c r="I366" s="61">
        <f t="shared" si="167"/>
        <v>1400</v>
      </c>
      <c r="J366" s="61">
        <f t="shared" si="167"/>
        <v>1400</v>
      </c>
      <c r="K366" s="61">
        <f t="shared" si="167"/>
        <v>1400</v>
      </c>
      <c r="L366" s="35">
        <f t="shared" si="164"/>
        <v>100</v>
      </c>
      <c r="M366" s="35">
        <f t="shared" si="165"/>
        <v>100</v>
      </c>
    </row>
    <row r="367" spans="1:13">
      <c r="A367" s="59" t="s">
        <v>26</v>
      </c>
      <c r="B367" s="28" t="s">
        <v>163</v>
      </c>
      <c r="C367" s="28" t="s">
        <v>93</v>
      </c>
      <c r="D367" s="67" t="s">
        <v>93</v>
      </c>
      <c r="E367" s="29" t="s">
        <v>614</v>
      </c>
      <c r="F367" s="28">
        <v>500</v>
      </c>
      <c r="G367" s="61"/>
      <c r="H367" s="61">
        <f>H368</f>
        <v>1400</v>
      </c>
      <c r="I367" s="61">
        <f t="shared" si="167"/>
        <v>1400</v>
      </c>
      <c r="J367" s="61">
        <f t="shared" si="167"/>
        <v>1400</v>
      </c>
      <c r="K367" s="61">
        <f t="shared" si="167"/>
        <v>1400</v>
      </c>
      <c r="L367" s="35">
        <f t="shared" si="164"/>
        <v>100</v>
      </c>
      <c r="M367" s="35">
        <f t="shared" si="165"/>
        <v>100</v>
      </c>
    </row>
    <row r="368" spans="1:13">
      <c r="A368" s="68" t="s">
        <v>352</v>
      </c>
      <c r="B368" s="28" t="s">
        <v>163</v>
      </c>
      <c r="C368" s="28" t="s">
        <v>93</v>
      </c>
      <c r="D368" s="67" t="s">
        <v>93</v>
      </c>
      <c r="E368" s="29" t="s">
        <v>614</v>
      </c>
      <c r="F368" s="58">
        <v>540</v>
      </c>
      <c r="G368" s="61"/>
      <c r="H368" s="61">
        <v>1400</v>
      </c>
      <c r="I368" s="61">
        <v>1400</v>
      </c>
      <c r="J368" s="61">
        <v>1400</v>
      </c>
      <c r="K368" s="61">
        <v>1400</v>
      </c>
      <c r="L368" s="35">
        <f t="shared" si="164"/>
        <v>100</v>
      </c>
      <c r="M368" s="35">
        <f t="shared" si="165"/>
        <v>100</v>
      </c>
    </row>
    <row r="369" spans="1:13">
      <c r="A369" s="60"/>
      <c r="B369" s="58"/>
      <c r="C369" s="58"/>
      <c r="D369" s="58"/>
      <c r="E369" s="58"/>
      <c r="F369" s="58"/>
      <c r="G369" s="61"/>
      <c r="H369" s="61"/>
      <c r="I369" s="61"/>
      <c r="J369" s="61"/>
      <c r="K369" s="61"/>
      <c r="L369" s="35"/>
      <c r="M369" s="35"/>
    </row>
    <row r="370" spans="1:13">
      <c r="A370" s="59" t="s">
        <v>147</v>
      </c>
      <c r="B370" s="28" t="s">
        <v>163</v>
      </c>
      <c r="C370" s="28" t="s">
        <v>148</v>
      </c>
      <c r="D370" s="58" t="s">
        <v>0</v>
      </c>
      <c r="E370" s="58" t="s">
        <v>0</v>
      </c>
      <c r="F370" s="58" t="s">
        <v>0</v>
      </c>
      <c r="G370" s="35">
        <f t="shared" ref="G370:G375" si="168">G371</f>
        <v>102893.7</v>
      </c>
      <c r="H370" s="35">
        <f t="shared" ref="H370:K375" si="169">H371</f>
        <v>102893.7</v>
      </c>
      <c r="I370" s="35">
        <f t="shared" si="169"/>
        <v>102893.62059999999</v>
      </c>
      <c r="J370" s="35">
        <f t="shared" si="169"/>
        <v>102893.62059999999</v>
      </c>
      <c r="K370" s="35">
        <f t="shared" si="169"/>
        <v>98685.955600000001</v>
      </c>
      <c r="L370" s="35">
        <f t="shared" si="164"/>
        <v>95.910590833063637</v>
      </c>
      <c r="M370" s="35">
        <f t="shared" si="165"/>
        <v>95.910664844463639</v>
      </c>
    </row>
    <row r="371" spans="1:13">
      <c r="A371" s="59" t="s">
        <v>149</v>
      </c>
      <c r="B371" s="28" t="s">
        <v>163</v>
      </c>
      <c r="C371" s="28" t="s">
        <v>148</v>
      </c>
      <c r="D371" s="28" t="s">
        <v>150</v>
      </c>
      <c r="E371" s="58" t="s">
        <v>0</v>
      </c>
      <c r="F371" s="58" t="s">
        <v>0</v>
      </c>
      <c r="G371" s="35">
        <f t="shared" si="168"/>
        <v>102893.7</v>
      </c>
      <c r="H371" s="35">
        <f t="shared" si="169"/>
        <v>102893.7</v>
      </c>
      <c r="I371" s="35">
        <f t="shared" si="169"/>
        <v>102893.62059999999</v>
      </c>
      <c r="J371" s="35">
        <f t="shared" si="169"/>
        <v>102893.62059999999</v>
      </c>
      <c r="K371" s="35">
        <f t="shared" si="169"/>
        <v>98685.955600000001</v>
      </c>
      <c r="L371" s="35">
        <f t="shared" si="164"/>
        <v>95.910590833063637</v>
      </c>
      <c r="M371" s="35">
        <f t="shared" si="165"/>
        <v>95.910664844463639</v>
      </c>
    </row>
    <row r="372" spans="1:13" ht="76.5">
      <c r="A372" s="59" t="s">
        <v>98</v>
      </c>
      <c r="B372" s="28" t="s">
        <v>163</v>
      </c>
      <c r="C372" s="28" t="s">
        <v>148</v>
      </c>
      <c r="D372" s="28" t="s">
        <v>150</v>
      </c>
      <c r="E372" s="28" t="s">
        <v>99</v>
      </c>
      <c r="F372" s="58" t="s">
        <v>0</v>
      </c>
      <c r="G372" s="35">
        <f t="shared" si="168"/>
        <v>102893.7</v>
      </c>
      <c r="H372" s="35">
        <f t="shared" si="169"/>
        <v>102893.7</v>
      </c>
      <c r="I372" s="35">
        <f t="shared" si="169"/>
        <v>102893.62059999999</v>
      </c>
      <c r="J372" s="35">
        <f t="shared" si="169"/>
        <v>102893.62059999999</v>
      </c>
      <c r="K372" s="35">
        <f t="shared" si="169"/>
        <v>98685.955600000001</v>
      </c>
      <c r="L372" s="35">
        <f t="shared" si="164"/>
        <v>95.910590833063637</v>
      </c>
      <c r="M372" s="35">
        <f t="shared" si="165"/>
        <v>95.910664844463639</v>
      </c>
    </row>
    <row r="373" spans="1:13" ht="63.75">
      <c r="A373" s="59" t="s">
        <v>100</v>
      </c>
      <c r="B373" s="28" t="s">
        <v>163</v>
      </c>
      <c r="C373" s="28" t="s">
        <v>148</v>
      </c>
      <c r="D373" s="28" t="s">
        <v>150</v>
      </c>
      <c r="E373" s="28" t="s">
        <v>101</v>
      </c>
      <c r="F373" s="58" t="s">
        <v>0</v>
      </c>
      <c r="G373" s="35">
        <f t="shared" si="168"/>
        <v>102893.7</v>
      </c>
      <c r="H373" s="35">
        <f t="shared" si="169"/>
        <v>102893.7</v>
      </c>
      <c r="I373" s="35">
        <f t="shared" si="169"/>
        <v>102893.62059999999</v>
      </c>
      <c r="J373" s="35">
        <f t="shared" si="169"/>
        <v>102893.62059999999</v>
      </c>
      <c r="K373" s="35">
        <f t="shared" si="169"/>
        <v>98685.955600000001</v>
      </c>
      <c r="L373" s="35">
        <f t="shared" si="164"/>
        <v>95.910590833063637</v>
      </c>
      <c r="M373" s="35">
        <f t="shared" si="165"/>
        <v>95.910664844463639</v>
      </c>
    </row>
    <row r="374" spans="1:13" ht="63.75">
      <c r="A374" s="59" t="s">
        <v>102</v>
      </c>
      <c r="B374" s="28" t="s">
        <v>163</v>
      </c>
      <c r="C374" s="28" t="s">
        <v>148</v>
      </c>
      <c r="D374" s="28" t="s">
        <v>150</v>
      </c>
      <c r="E374" s="28" t="s">
        <v>104</v>
      </c>
      <c r="F374" s="58" t="s">
        <v>0</v>
      </c>
      <c r="G374" s="35">
        <f t="shared" si="168"/>
        <v>102893.7</v>
      </c>
      <c r="H374" s="35">
        <f t="shared" si="169"/>
        <v>102893.7</v>
      </c>
      <c r="I374" s="35">
        <f t="shared" si="169"/>
        <v>102893.62059999999</v>
      </c>
      <c r="J374" s="35">
        <f t="shared" si="169"/>
        <v>102893.62059999999</v>
      </c>
      <c r="K374" s="35">
        <f t="shared" si="169"/>
        <v>98685.955600000001</v>
      </c>
      <c r="L374" s="35">
        <f t="shared" si="164"/>
        <v>95.910590833063637</v>
      </c>
      <c r="M374" s="35">
        <f t="shared" si="165"/>
        <v>95.910664844463639</v>
      </c>
    </row>
    <row r="375" spans="1:13">
      <c r="A375" s="59" t="s">
        <v>26</v>
      </c>
      <c r="B375" s="28" t="s">
        <v>163</v>
      </c>
      <c r="C375" s="28" t="s">
        <v>148</v>
      </c>
      <c r="D375" s="28" t="s">
        <v>150</v>
      </c>
      <c r="E375" s="28" t="s">
        <v>104</v>
      </c>
      <c r="F375" s="28" t="s">
        <v>27</v>
      </c>
      <c r="G375" s="35">
        <f t="shared" si="168"/>
        <v>102893.7</v>
      </c>
      <c r="H375" s="35">
        <f t="shared" si="169"/>
        <v>102893.7</v>
      </c>
      <c r="I375" s="35">
        <f t="shared" si="169"/>
        <v>102893.62059999999</v>
      </c>
      <c r="J375" s="35">
        <f t="shared" si="169"/>
        <v>102893.62059999999</v>
      </c>
      <c r="K375" s="35">
        <f t="shared" si="169"/>
        <v>98685.955600000001</v>
      </c>
      <c r="L375" s="35">
        <f t="shared" si="164"/>
        <v>95.910590833063637</v>
      </c>
      <c r="M375" s="35">
        <f t="shared" si="165"/>
        <v>95.910664844463639</v>
      </c>
    </row>
    <row r="376" spans="1:13">
      <c r="A376" s="59" t="s">
        <v>56</v>
      </c>
      <c r="B376" s="28" t="s">
        <v>163</v>
      </c>
      <c r="C376" s="28" t="s">
        <v>148</v>
      </c>
      <c r="D376" s="28" t="s">
        <v>150</v>
      </c>
      <c r="E376" s="28" t="s">
        <v>104</v>
      </c>
      <c r="F376" s="28" t="s">
        <v>57</v>
      </c>
      <c r="G376" s="35">
        <v>102893.7</v>
      </c>
      <c r="H376" s="35">
        <v>102893.7</v>
      </c>
      <c r="I376" s="35">
        <v>102893.62059999999</v>
      </c>
      <c r="J376" s="35">
        <v>102893.62059999999</v>
      </c>
      <c r="K376" s="35">
        <v>98685.955600000001</v>
      </c>
      <c r="L376" s="35">
        <f t="shared" si="164"/>
        <v>95.910590833063637</v>
      </c>
      <c r="M376" s="35">
        <f t="shared" si="165"/>
        <v>95.910664844463639</v>
      </c>
    </row>
    <row r="377" spans="1:13">
      <c r="A377" s="64" t="s">
        <v>0</v>
      </c>
      <c r="B377" s="65" t="s">
        <v>0</v>
      </c>
      <c r="C377" s="58" t="s">
        <v>0</v>
      </c>
      <c r="D377" s="58" t="s">
        <v>0</v>
      </c>
      <c r="E377" s="58" t="s">
        <v>0</v>
      </c>
      <c r="F377" s="58" t="s">
        <v>0</v>
      </c>
      <c r="G377" s="66" t="s">
        <v>0</v>
      </c>
      <c r="H377" s="66" t="s">
        <v>0</v>
      </c>
      <c r="I377" s="66" t="s">
        <v>0</v>
      </c>
      <c r="J377" s="66" t="s">
        <v>0</v>
      </c>
      <c r="K377" s="66" t="s">
        <v>0</v>
      </c>
      <c r="L377" s="35"/>
      <c r="M377" s="35"/>
    </row>
    <row r="378" spans="1:13" ht="38.25">
      <c r="A378" s="56" t="s">
        <v>228</v>
      </c>
      <c r="B378" s="57" t="s">
        <v>229</v>
      </c>
      <c r="C378" s="58" t="s">
        <v>0</v>
      </c>
      <c r="D378" s="58" t="s">
        <v>0</v>
      </c>
      <c r="E378" s="58" t="s">
        <v>0</v>
      </c>
      <c r="F378" s="58" t="s">
        <v>0</v>
      </c>
      <c r="G378" s="30">
        <f>G379+G462</f>
        <v>1023044.6000000001</v>
      </c>
      <c r="H378" s="30">
        <f>H379+H462</f>
        <v>1023699.335</v>
      </c>
      <c r="I378" s="30">
        <f>I379+I462</f>
        <v>707294.72613999993</v>
      </c>
      <c r="J378" s="30">
        <f>J379+J462</f>
        <v>706226.72869999998</v>
      </c>
      <c r="K378" s="30">
        <f>K379+K462</f>
        <v>699697.67832000006</v>
      </c>
      <c r="L378" s="30">
        <f t="shared" si="164"/>
        <v>68.349920176513564</v>
      </c>
      <c r="M378" s="30">
        <f t="shared" si="165"/>
        <v>98.925900683374223</v>
      </c>
    </row>
    <row r="379" spans="1:13">
      <c r="A379" s="59" t="s">
        <v>30</v>
      </c>
      <c r="B379" s="28" t="s">
        <v>229</v>
      </c>
      <c r="C379" s="28" t="s">
        <v>19</v>
      </c>
      <c r="D379" s="58" t="s">
        <v>0</v>
      </c>
      <c r="E379" s="58" t="s">
        <v>0</v>
      </c>
      <c r="F379" s="58" t="s">
        <v>0</v>
      </c>
      <c r="G379" s="35">
        <f>G380+G393+G405</f>
        <v>960334.40000000014</v>
      </c>
      <c r="H379" s="35">
        <f t="shared" ref="H379:K379" si="170">H380+H393+H405</f>
        <v>958839.13500000001</v>
      </c>
      <c r="I379" s="35">
        <f t="shared" si="170"/>
        <v>669143.17427999992</v>
      </c>
      <c r="J379" s="35">
        <f t="shared" si="170"/>
        <v>668075.17683999997</v>
      </c>
      <c r="K379" s="35">
        <f t="shared" si="170"/>
        <v>661904.20446000004</v>
      </c>
      <c r="L379" s="35">
        <f t="shared" si="164"/>
        <v>69.031830293409953</v>
      </c>
      <c r="M379" s="35">
        <f t="shared" si="165"/>
        <v>98.91817325525453</v>
      </c>
    </row>
    <row r="380" spans="1:13">
      <c r="A380" s="59" t="s">
        <v>230</v>
      </c>
      <c r="B380" s="28" t="s">
        <v>229</v>
      </c>
      <c r="C380" s="28" t="s">
        <v>19</v>
      </c>
      <c r="D380" s="28" t="s">
        <v>17</v>
      </c>
      <c r="E380" s="58" t="s">
        <v>0</v>
      </c>
      <c r="F380" s="58" t="s">
        <v>0</v>
      </c>
      <c r="G380" s="35">
        <f>G381</f>
        <v>57447.3</v>
      </c>
      <c r="H380" s="35">
        <f t="shared" ref="H380:K382" si="171">H381</f>
        <v>57447.3</v>
      </c>
      <c r="I380" s="35">
        <f t="shared" si="171"/>
        <v>45288.284950000001</v>
      </c>
      <c r="J380" s="35">
        <f t="shared" si="171"/>
        <v>45288.284950000001</v>
      </c>
      <c r="K380" s="35">
        <f t="shared" si="171"/>
        <v>41479.745469999994</v>
      </c>
      <c r="L380" s="35">
        <f t="shared" si="164"/>
        <v>72.204865102450412</v>
      </c>
      <c r="M380" s="35">
        <f t="shared" si="165"/>
        <v>91.59045328343791</v>
      </c>
    </row>
    <row r="381" spans="1:13" ht="38.25">
      <c r="A381" s="59" t="s">
        <v>231</v>
      </c>
      <c r="B381" s="28" t="s">
        <v>229</v>
      </c>
      <c r="C381" s="28" t="s">
        <v>19</v>
      </c>
      <c r="D381" s="28" t="s">
        <v>17</v>
      </c>
      <c r="E381" s="28" t="s">
        <v>232</v>
      </c>
      <c r="F381" s="58" t="s">
        <v>0</v>
      </c>
      <c r="G381" s="35">
        <f>G382</f>
        <v>57447.3</v>
      </c>
      <c r="H381" s="35">
        <f t="shared" si="171"/>
        <v>57447.3</v>
      </c>
      <c r="I381" s="35">
        <f t="shared" si="171"/>
        <v>45288.284950000001</v>
      </c>
      <c r="J381" s="35">
        <f t="shared" si="171"/>
        <v>45288.284950000001</v>
      </c>
      <c r="K381" s="35">
        <f t="shared" si="171"/>
        <v>41479.745469999994</v>
      </c>
      <c r="L381" s="35">
        <f t="shared" si="164"/>
        <v>72.204865102450412</v>
      </c>
      <c r="M381" s="35">
        <f t="shared" si="165"/>
        <v>91.59045328343791</v>
      </c>
    </row>
    <row r="382" spans="1:13" ht="51">
      <c r="A382" s="59" t="s">
        <v>233</v>
      </c>
      <c r="B382" s="28" t="s">
        <v>229</v>
      </c>
      <c r="C382" s="28" t="s">
        <v>19</v>
      </c>
      <c r="D382" s="28" t="s">
        <v>17</v>
      </c>
      <c r="E382" s="28" t="s">
        <v>234</v>
      </c>
      <c r="F382" s="58" t="s">
        <v>0</v>
      </c>
      <c r="G382" s="35">
        <f>G383</f>
        <v>57447.3</v>
      </c>
      <c r="H382" s="35">
        <f t="shared" si="171"/>
        <v>57447.3</v>
      </c>
      <c r="I382" s="35">
        <f t="shared" si="171"/>
        <v>45288.284950000001</v>
      </c>
      <c r="J382" s="35">
        <f t="shared" si="171"/>
        <v>45288.284950000001</v>
      </c>
      <c r="K382" s="35">
        <f t="shared" si="171"/>
        <v>41479.745469999994</v>
      </c>
      <c r="L382" s="35">
        <f t="shared" si="164"/>
        <v>72.204865102450412</v>
      </c>
      <c r="M382" s="35">
        <f t="shared" si="165"/>
        <v>91.59045328343791</v>
      </c>
    </row>
    <row r="383" spans="1:13" ht="25.5">
      <c r="A383" s="59" t="s">
        <v>58</v>
      </c>
      <c r="B383" s="28" t="s">
        <v>229</v>
      </c>
      <c r="C383" s="28" t="s">
        <v>19</v>
      </c>
      <c r="D383" s="28" t="s">
        <v>17</v>
      </c>
      <c r="E383" s="28" t="s">
        <v>235</v>
      </c>
      <c r="F383" s="58" t="s">
        <v>0</v>
      </c>
      <c r="G383" s="35">
        <f>G384+G386+G388+G390</f>
        <v>57447.3</v>
      </c>
      <c r="H383" s="35">
        <f t="shared" ref="H383:K383" si="172">H384+H386+H388+H390</f>
        <v>57447.3</v>
      </c>
      <c r="I383" s="35">
        <f t="shared" si="172"/>
        <v>45288.284950000001</v>
      </c>
      <c r="J383" s="35">
        <f t="shared" si="172"/>
        <v>45288.284950000001</v>
      </c>
      <c r="K383" s="35">
        <f t="shared" si="172"/>
        <v>41479.745469999994</v>
      </c>
      <c r="L383" s="35">
        <f t="shared" si="164"/>
        <v>72.204865102450412</v>
      </c>
      <c r="M383" s="35">
        <f t="shared" si="165"/>
        <v>91.59045328343791</v>
      </c>
    </row>
    <row r="384" spans="1:13" ht="63.75">
      <c r="A384" s="59" t="s">
        <v>60</v>
      </c>
      <c r="B384" s="28" t="s">
        <v>229</v>
      </c>
      <c r="C384" s="28" t="s">
        <v>19</v>
      </c>
      <c r="D384" s="28" t="s">
        <v>17</v>
      </c>
      <c r="E384" s="28" t="s">
        <v>235</v>
      </c>
      <c r="F384" s="28" t="s">
        <v>61</v>
      </c>
      <c r="G384" s="35">
        <f>G385</f>
        <v>49472.800000000003</v>
      </c>
      <c r="H384" s="35">
        <f t="shared" ref="H384:K384" si="173">H385</f>
        <v>49326.221160000001</v>
      </c>
      <c r="I384" s="35">
        <f t="shared" si="173"/>
        <v>37458.721160000001</v>
      </c>
      <c r="J384" s="35">
        <f t="shared" si="173"/>
        <v>37458.721160000001</v>
      </c>
      <c r="K384" s="35">
        <f t="shared" si="173"/>
        <v>34531.798369999997</v>
      </c>
      <c r="L384" s="35">
        <f t="shared" si="164"/>
        <v>70.006981191583321</v>
      </c>
      <c r="M384" s="35">
        <f t="shared" si="165"/>
        <v>92.186271449316067</v>
      </c>
    </row>
    <row r="385" spans="1:13" ht="25.5">
      <c r="A385" s="59" t="s">
        <v>62</v>
      </c>
      <c r="B385" s="28" t="s">
        <v>229</v>
      </c>
      <c r="C385" s="28" t="s">
        <v>19</v>
      </c>
      <c r="D385" s="28" t="s">
        <v>17</v>
      </c>
      <c r="E385" s="28" t="s">
        <v>235</v>
      </c>
      <c r="F385" s="28" t="s">
        <v>63</v>
      </c>
      <c r="G385" s="35">
        <v>49472.800000000003</v>
      </c>
      <c r="H385" s="35">
        <f>35926.3+2717.42116+10682.5</f>
        <v>49326.221160000001</v>
      </c>
      <c r="I385" s="35">
        <f>27800+1869.02116+7789.7</f>
        <v>37458.721160000001</v>
      </c>
      <c r="J385" s="35">
        <f>27800+1869.02116+7789.7</f>
        <v>37458.721160000001</v>
      </c>
      <c r="K385" s="35">
        <f>25567.57854+1678.70361+7285.51622</f>
        <v>34531.798369999997</v>
      </c>
      <c r="L385" s="35">
        <f t="shared" si="164"/>
        <v>70.006981191583321</v>
      </c>
      <c r="M385" s="35">
        <f t="shared" si="165"/>
        <v>92.186271449316067</v>
      </c>
    </row>
    <row r="386" spans="1:13" ht="25.5">
      <c r="A386" s="59" t="s">
        <v>64</v>
      </c>
      <c r="B386" s="28" t="s">
        <v>229</v>
      </c>
      <c r="C386" s="28" t="s">
        <v>19</v>
      </c>
      <c r="D386" s="28" t="s">
        <v>17</v>
      </c>
      <c r="E386" s="28" t="s">
        <v>235</v>
      </c>
      <c r="F386" s="28" t="s">
        <v>65</v>
      </c>
      <c r="G386" s="35">
        <f>G387</f>
        <v>6178</v>
      </c>
      <c r="H386" s="35">
        <f t="shared" ref="H386:K386" si="174">H387</f>
        <v>6178</v>
      </c>
      <c r="I386" s="35">
        <f t="shared" si="174"/>
        <v>5901.585</v>
      </c>
      <c r="J386" s="35">
        <f t="shared" si="174"/>
        <v>5901.585</v>
      </c>
      <c r="K386" s="35">
        <f t="shared" si="174"/>
        <v>5131.6452200000003</v>
      </c>
      <c r="L386" s="35">
        <f t="shared" si="164"/>
        <v>83.063211719002922</v>
      </c>
      <c r="M386" s="35">
        <f t="shared" si="165"/>
        <v>86.953678037340822</v>
      </c>
    </row>
    <row r="387" spans="1:13" ht="25.5">
      <c r="A387" s="59" t="s">
        <v>66</v>
      </c>
      <c r="B387" s="28" t="s">
        <v>229</v>
      </c>
      <c r="C387" s="28" t="s">
        <v>19</v>
      </c>
      <c r="D387" s="28" t="s">
        <v>17</v>
      </c>
      <c r="E387" s="28" t="s">
        <v>235</v>
      </c>
      <c r="F387" s="28" t="s">
        <v>67</v>
      </c>
      <c r="G387" s="35">
        <v>6178</v>
      </c>
      <c r="H387" s="35">
        <v>6178</v>
      </c>
      <c r="I387" s="35">
        <v>5901.585</v>
      </c>
      <c r="J387" s="35">
        <v>5901.585</v>
      </c>
      <c r="K387" s="35">
        <v>5131.6452200000003</v>
      </c>
      <c r="L387" s="35">
        <f t="shared" si="164"/>
        <v>83.063211719002922</v>
      </c>
      <c r="M387" s="35">
        <f t="shared" si="165"/>
        <v>86.953678037340822</v>
      </c>
    </row>
    <row r="388" spans="1:13">
      <c r="A388" s="59" t="s">
        <v>68</v>
      </c>
      <c r="B388" s="28" t="s">
        <v>229</v>
      </c>
      <c r="C388" s="28" t="s">
        <v>19</v>
      </c>
      <c r="D388" s="28" t="s">
        <v>17</v>
      </c>
      <c r="E388" s="28" t="s">
        <v>235</v>
      </c>
      <c r="F388" s="28" t="s">
        <v>69</v>
      </c>
      <c r="G388" s="35">
        <f>G389</f>
        <v>60</v>
      </c>
      <c r="H388" s="35">
        <f t="shared" ref="H388:K388" si="175">H389</f>
        <v>60</v>
      </c>
      <c r="I388" s="35">
        <f t="shared" si="175"/>
        <v>60</v>
      </c>
      <c r="J388" s="35">
        <f t="shared" si="175"/>
        <v>60</v>
      </c>
      <c r="K388" s="35">
        <f t="shared" si="175"/>
        <v>0</v>
      </c>
      <c r="L388" s="35">
        <f t="shared" si="164"/>
        <v>0</v>
      </c>
      <c r="M388" s="35">
        <f t="shared" si="165"/>
        <v>0</v>
      </c>
    </row>
    <row r="389" spans="1:13">
      <c r="A389" s="59" t="s">
        <v>70</v>
      </c>
      <c r="B389" s="28" t="s">
        <v>229</v>
      </c>
      <c r="C389" s="28" t="s">
        <v>19</v>
      </c>
      <c r="D389" s="28" t="s">
        <v>17</v>
      </c>
      <c r="E389" s="28" t="s">
        <v>235</v>
      </c>
      <c r="F389" s="28" t="s">
        <v>71</v>
      </c>
      <c r="G389" s="35">
        <v>60</v>
      </c>
      <c r="H389" s="35">
        <v>60</v>
      </c>
      <c r="I389" s="35">
        <v>60</v>
      </c>
      <c r="J389" s="35">
        <v>60</v>
      </c>
      <c r="K389" s="35">
        <v>0</v>
      </c>
      <c r="L389" s="35">
        <f t="shared" si="164"/>
        <v>0</v>
      </c>
      <c r="M389" s="35">
        <f t="shared" si="165"/>
        <v>0</v>
      </c>
    </row>
    <row r="390" spans="1:13">
      <c r="A390" s="59" t="s">
        <v>72</v>
      </c>
      <c r="B390" s="28" t="s">
        <v>229</v>
      </c>
      <c r="C390" s="28" t="s">
        <v>19</v>
      </c>
      <c r="D390" s="28" t="s">
        <v>17</v>
      </c>
      <c r="E390" s="28" t="s">
        <v>235</v>
      </c>
      <c r="F390" s="28" t="s">
        <v>73</v>
      </c>
      <c r="G390" s="35">
        <f>G391+G392</f>
        <v>1736.5</v>
      </c>
      <c r="H390" s="35">
        <f t="shared" ref="H390:K390" si="176">H391+H392</f>
        <v>1883.0788399999997</v>
      </c>
      <c r="I390" s="35">
        <f t="shared" si="176"/>
        <v>1867.9787900000001</v>
      </c>
      <c r="J390" s="35">
        <f t="shared" si="176"/>
        <v>1867.9787900000001</v>
      </c>
      <c r="K390" s="35">
        <f t="shared" si="176"/>
        <v>1816.30188</v>
      </c>
      <c r="L390" s="35">
        <f t="shared" si="164"/>
        <v>96.453841518393375</v>
      </c>
      <c r="M390" s="35">
        <f t="shared" si="165"/>
        <v>97.233538717000087</v>
      </c>
    </row>
    <row r="391" spans="1:13">
      <c r="A391" s="59" t="s">
        <v>84</v>
      </c>
      <c r="B391" s="28" t="s">
        <v>229</v>
      </c>
      <c r="C391" s="28" t="s">
        <v>19</v>
      </c>
      <c r="D391" s="28" t="s">
        <v>17</v>
      </c>
      <c r="E391" s="28" t="s">
        <v>235</v>
      </c>
      <c r="F391" s="28" t="s">
        <v>85</v>
      </c>
      <c r="G391" s="35">
        <v>120</v>
      </c>
      <c r="H391" s="35">
        <v>305.42979000000003</v>
      </c>
      <c r="I391" s="35">
        <v>305.42979000000003</v>
      </c>
      <c r="J391" s="35">
        <v>305.42979000000003</v>
      </c>
      <c r="K391" s="35">
        <v>305.42979000000003</v>
      </c>
      <c r="L391" s="35">
        <f t="shared" si="164"/>
        <v>100</v>
      </c>
      <c r="M391" s="35">
        <f t="shared" si="165"/>
        <v>100</v>
      </c>
    </row>
    <row r="392" spans="1:13">
      <c r="A392" s="59" t="s">
        <v>74</v>
      </c>
      <c r="B392" s="28" t="s">
        <v>229</v>
      </c>
      <c r="C392" s="28" t="s">
        <v>19</v>
      </c>
      <c r="D392" s="28" t="s">
        <v>17</v>
      </c>
      <c r="E392" s="28" t="s">
        <v>235</v>
      </c>
      <c r="F392" s="28" t="s">
        <v>75</v>
      </c>
      <c r="G392" s="35">
        <v>1616.5</v>
      </c>
      <c r="H392" s="35">
        <f>1142.93177+391.33549+43.38179</f>
        <v>1577.6490499999998</v>
      </c>
      <c r="I392" s="35">
        <f>1142.88272+376.28449+43.38179</f>
        <v>1562.549</v>
      </c>
      <c r="J392" s="35">
        <f>1142.88272+376.28449+43.38179</f>
        <v>1562.549</v>
      </c>
      <c r="K392" s="35">
        <f>1091.28856+376.27949+43.30404</f>
        <v>1510.8720899999998</v>
      </c>
      <c r="L392" s="35">
        <f t="shared" si="164"/>
        <v>95.767312128131422</v>
      </c>
      <c r="M392" s="35">
        <f t="shared" si="165"/>
        <v>96.692781474372964</v>
      </c>
    </row>
    <row r="393" spans="1:13">
      <c r="A393" s="59" t="s">
        <v>31</v>
      </c>
      <c r="B393" s="28" t="s">
        <v>229</v>
      </c>
      <c r="C393" s="28" t="s">
        <v>19</v>
      </c>
      <c r="D393" s="28" t="s">
        <v>32</v>
      </c>
      <c r="E393" s="58" t="s">
        <v>0</v>
      </c>
      <c r="F393" s="58" t="s">
        <v>0</v>
      </c>
      <c r="G393" s="35">
        <f>G394</f>
        <v>19638</v>
      </c>
      <c r="H393" s="35">
        <f t="shared" ref="H393:K394" si="177">H394</f>
        <v>18142.735000000001</v>
      </c>
      <c r="I393" s="35">
        <f t="shared" si="177"/>
        <v>1255.8016699999998</v>
      </c>
      <c r="J393" s="35">
        <f t="shared" si="177"/>
        <v>1255.8016699999998</v>
      </c>
      <c r="K393" s="35">
        <f t="shared" si="177"/>
        <v>1248.3016699999998</v>
      </c>
      <c r="L393" s="35">
        <f t="shared" si="164"/>
        <v>6.8804492266463662</v>
      </c>
      <c r="M393" s="35">
        <f t="shared" si="165"/>
        <v>99.402771936113126</v>
      </c>
    </row>
    <row r="394" spans="1:13" ht="51">
      <c r="A394" s="59" t="s">
        <v>33</v>
      </c>
      <c r="B394" s="28" t="s">
        <v>229</v>
      </c>
      <c r="C394" s="28" t="s">
        <v>19</v>
      </c>
      <c r="D394" s="28" t="s">
        <v>32</v>
      </c>
      <c r="E394" s="28" t="s">
        <v>34</v>
      </c>
      <c r="F394" s="58" t="s">
        <v>0</v>
      </c>
      <c r="G394" s="35">
        <f>G395</f>
        <v>19638</v>
      </c>
      <c r="H394" s="35">
        <f t="shared" si="177"/>
        <v>18142.735000000001</v>
      </c>
      <c r="I394" s="35">
        <f t="shared" si="177"/>
        <v>1255.8016699999998</v>
      </c>
      <c r="J394" s="35">
        <f t="shared" si="177"/>
        <v>1255.8016699999998</v>
      </c>
      <c r="K394" s="35">
        <f t="shared" si="177"/>
        <v>1248.3016699999998</v>
      </c>
      <c r="L394" s="35">
        <f t="shared" si="164"/>
        <v>6.8804492266463662</v>
      </c>
      <c r="M394" s="35">
        <f t="shared" si="165"/>
        <v>99.402771936113126</v>
      </c>
    </row>
    <row r="395" spans="1:13" ht="25.5">
      <c r="A395" s="59" t="s">
        <v>35</v>
      </c>
      <c r="B395" s="28" t="s">
        <v>229</v>
      </c>
      <c r="C395" s="28" t="s">
        <v>19</v>
      </c>
      <c r="D395" s="28" t="s">
        <v>32</v>
      </c>
      <c r="E395" s="28" t="s">
        <v>36</v>
      </c>
      <c r="F395" s="58" t="s">
        <v>0</v>
      </c>
      <c r="G395" s="35">
        <f>G396+G399+G402</f>
        <v>19638</v>
      </c>
      <c r="H395" s="35">
        <f t="shared" ref="H395:K395" si="178">H396+H399+H402</f>
        <v>18142.735000000001</v>
      </c>
      <c r="I395" s="35">
        <f t="shared" si="178"/>
        <v>1255.8016699999998</v>
      </c>
      <c r="J395" s="35">
        <f t="shared" si="178"/>
        <v>1255.8016699999998</v>
      </c>
      <c r="K395" s="35">
        <f t="shared" si="178"/>
        <v>1248.3016699999998</v>
      </c>
      <c r="L395" s="35">
        <f t="shared" si="164"/>
        <v>6.8804492266463662</v>
      </c>
      <c r="M395" s="35">
        <f t="shared" si="165"/>
        <v>99.402771936113126</v>
      </c>
    </row>
    <row r="396" spans="1:13" ht="25.5">
      <c r="A396" s="59" t="s">
        <v>236</v>
      </c>
      <c r="B396" s="28" t="s">
        <v>229</v>
      </c>
      <c r="C396" s="28" t="s">
        <v>19</v>
      </c>
      <c r="D396" s="28" t="s">
        <v>32</v>
      </c>
      <c r="E396" s="28" t="s">
        <v>237</v>
      </c>
      <c r="F396" s="58" t="s">
        <v>0</v>
      </c>
      <c r="G396" s="35">
        <f>G397</f>
        <v>14952.7</v>
      </c>
      <c r="H396" s="35">
        <f t="shared" ref="H396:K397" si="179">H397</f>
        <v>13457.4</v>
      </c>
      <c r="I396" s="35">
        <f t="shared" si="179"/>
        <v>570.79999999999995</v>
      </c>
      <c r="J396" s="35">
        <f t="shared" si="179"/>
        <v>570.79999999999995</v>
      </c>
      <c r="K396" s="35">
        <f t="shared" si="179"/>
        <v>563.29999999999995</v>
      </c>
      <c r="L396" s="35">
        <f t="shared" si="164"/>
        <v>4.1858011205730676</v>
      </c>
      <c r="M396" s="35">
        <f t="shared" si="165"/>
        <v>98.686054660126146</v>
      </c>
    </row>
    <row r="397" spans="1:13" ht="25.5">
      <c r="A397" s="59" t="s">
        <v>64</v>
      </c>
      <c r="B397" s="28" t="s">
        <v>229</v>
      </c>
      <c r="C397" s="28" t="s">
        <v>19</v>
      </c>
      <c r="D397" s="28" t="s">
        <v>32</v>
      </c>
      <c r="E397" s="28" t="s">
        <v>237</v>
      </c>
      <c r="F397" s="28" t="s">
        <v>65</v>
      </c>
      <c r="G397" s="35">
        <f>G398</f>
        <v>14952.7</v>
      </c>
      <c r="H397" s="35">
        <f t="shared" si="179"/>
        <v>13457.4</v>
      </c>
      <c r="I397" s="35">
        <f t="shared" si="179"/>
        <v>570.79999999999995</v>
      </c>
      <c r="J397" s="35">
        <f t="shared" si="179"/>
        <v>570.79999999999995</v>
      </c>
      <c r="K397" s="35">
        <f t="shared" si="179"/>
        <v>563.29999999999995</v>
      </c>
      <c r="L397" s="35">
        <f t="shared" si="164"/>
        <v>4.1858011205730676</v>
      </c>
      <c r="M397" s="35">
        <f t="shared" si="165"/>
        <v>98.686054660126146</v>
      </c>
    </row>
    <row r="398" spans="1:13" ht="25.5">
      <c r="A398" s="59" t="s">
        <v>66</v>
      </c>
      <c r="B398" s="28" t="s">
        <v>229</v>
      </c>
      <c r="C398" s="28" t="s">
        <v>19</v>
      </c>
      <c r="D398" s="28" t="s">
        <v>32</v>
      </c>
      <c r="E398" s="28" t="s">
        <v>237</v>
      </c>
      <c r="F398" s="28" t="s">
        <v>67</v>
      </c>
      <c r="G398" s="35">
        <v>14952.7</v>
      </c>
      <c r="H398" s="35">
        <v>13457.4</v>
      </c>
      <c r="I398" s="35">
        <v>570.79999999999995</v>
      </c>
      <c r="J398" s="35">
        <v>570.79999999999995</v>
      </c>
      <c r="K398" s="35">
        <v>563.29999999999995</v>
      </c>
      <c r="L398" s="35">
        <f t="shared" si="164"/>
        <v>4.1858011205730676</v>
      </c>
      <c r="M398" s="35">
        <f t="shared" si="165"/>
        <v>98.686054660126146</v>
      </c>
    </row>
    <row r="399" spans="1:13">
      <c r="A399" s="59" t="s">
        <v>238</v>
      </c>
      <c r="B399" s="28" t="s">
        <v>229</v>
      </c>
      <c r="C399" s="28" t="s">
        <v>19</v>
      </c>
      <c r="D399" s="28" t="s">
        <v>32</v>
      </c>
      <c r="E399" s="28" t="s">
        <v>239</v>
      </c>
      <c r="F399" s="58" t="s">
        <v>0</v>
      </c>
      <c r="G399" s="35">
        <f>G400</f>
        <v>3685.3</v>
      </c>
      <c r="H399" s="35">
        <f t="shared" ref="H399:K400" si="180">H400</f>
        <v>3685.335</v>
      </c>
      <c r="I399" s="35">
        <f t="shared" si="180"/>
        <v>685.00166999999999</v>
      </c>
      <c r="J399" s="35">
        <f t="shared" si="180"/>
        <v>685.00166999999999</v>
      </c>
      <c r="K399" s="35">
        <f t="shared" si="180"/>
        <v>685.00166999999999</v>
      </c>
      <c r="L399" s="35">
        <f t="shared" si="164"/>
        <v>18.587229383488882</v>
      </c>
      <c r="M399" s="35">
        <f t="shared" si="165"/>
        <v>100</v>
      </c>
    </row>
    <row r="400" spans="1:13" ht="25.5">
      <c r="A400" s="59" t="s">
        <v>64</v>
      </c>
      <c r="B400" s="28" t="s">
        <v>229</v>
      </c>
      <c r="C400" s="28" t="s">
        <v>19</v>
      </c>
      <c r="D400" s="28" t="s">
        <v>32</v>
      </c>
      <c r="E400" s="28" t="s">
        <v>239</v>
      </c>
      <c r="F400" s="28" t="s">
        <v>65</v>
      </c>
      <c r="G400" s="35">
        <f>G401</f>
        <v>3685.3</v>
      </c>
      <c r="H400" s="35">
        <f t="shared" si="180"/>
        <v>3685.335</v>
      </c>
      <c r="I400" s="35">
        <f t="shared" si="180"/>
        <v>685.00166999999999</v>
      </c>
      <c r="J400" s="35">
        <f t="shared" si="180"/>
        <v>685.00166999999999</v>
      </c>
      <c r="K400" s="35">
        <f t="shared" si="180"/>
        <v>685.00166999999999</v>
      </c>
      <c r="L400" s="35">
        <f t="shared" si="164"/>
        <v>18.587229383488882</v>
      </c>
      <c r="M400" s="35">
        <f t="shared" si="165"/>
        <v>100</v>
      </c>
    </row>
    <row r="401" spans="1:13" ht="25.5">
      <c r="A401" s="59" t="s">
        <v>66</v>
      </c>
      <c r="B401" s="28" t="s">
        <v>229</v>
      </c>
      <c r="C401" s="28" t="s">
        <v>19</v>
      </c>
      <c r="D401" s="28" t="s">
        <v>32</v>
      </c>
      <c r="E401" s="28" t="s">
        <v>239</v>
      </c>
      <c r="F401" s="28" t="s">
        <v>67</v>
      </c>
      <c r="G401" s="35">
        <v>3685.3</v>
      </c>
      <c r="H401" s="35">
        <v>3685.335</v>
      </c>
      <c r="I401" s="35">
        <v>685.00166999999999</v>
      </c>
      <c r="J401" s="35">
        <v>685.00166999999999</v>
      </c>
      <c r="K401" s="35">
        <v>685.00166999999999</v>
      </c>
      <c r="L401" s="35">
        <f t="shared" si="164"/>
        <v>18.587229383488882</v>
      </c>
      <c r="M401" s="35">
        <f t="shared" si="165"/>
        <v>100</v>
      </c>
    </row>
    <row r="402" spans="1:13">
      <c r="A402" s="59" t="s">
        <v>240</v>
      </c>
      <c r="B402" s="28" t="s">
        <v>229</v>
      </c>
      <c r="C402" s="28" t="s">
        <v>19</v>
      </c>
      <c r="D402" s="28" t="s">
        <v>32</v>
      </c>
      <c r="E402" s="28" t="s">
        <v>241</v>
      </c>
      <c r="F402" s="58" t="s">
        <v>0</v>
      </c>
      <c r="G402" s="35">
        <f>G403</f>
        <v>1000</v>
      </c>
      <c r="H402" s="35">
        <f t="shared" ref="H402:K403" si="181">H403</f>
        <v>1000</v>
      </c>
      <c r="I402" s="35">
        <f t="shared" si="181"/>
        <v>0</v>
      </c>
      <c r="J402" s="35">
        <f t="shared" si="181"/>
        <v>0</v>
      </c>
      <c r="K402" s="35">
        <f t="shared" si="181"/>
        <v>0</v>
      </c>
      <c r="L402" s="35">
        <f t="shared" si="164"/>
        <v>0</v>
      </c>
      <c r="M402" s="35">
        <v>0</v>
      </c>
    </row>
    <row r="403" spans="1:13">
      <c r="A403" s="59" t="s">
        <v>26</v>
      </c>
      <c r="B403" s="28" t="s">
        <v>229</v>
      </c>
      <c r="C403" s="28" t="s">
        <v>19</v>
      </c>
      <c r="D403" s="28" t="s">
        <v>32</v>
      </c>
      <c r="E403" s="28" t="s">
        <v>241</v>
      </c>
      <c r="F403" s="28" t="s">
        <v>27</v>
      </c>
      <c r="G403" s="35">
        <f>G404</f>
        <v>1000</v>
      </c>
      <c r="H403" s="35">
        <f t="shared" si="181"/>
        <v>1000</v>
      </c>
      <c r="I403" s="35">
        <f t="shared" si="181"/>
        <v>0</v>
      </c>
      <c r="J403" s="35">
        <f t="shared" si="181"/>
        <v>0</v>
      </c>
      <c r="K403" s="35">
        <f t="shared" si="181"/>
        <v>0</v>
      </c>
      <c r="L403" s="35">
        <f t="shared" si="164"/>
        <v>0</v>
      </c>
      <c r="M403" s="35">
        <v>0</v>
      </c>
    </row>
    <row r="404" spans="1:13">
      <c r="A404" s="59" t="s">
        <v>56</v>
      </c>
      <c r="B404" s="28" t="s">
        <v>229</v>
      </c>
      <c r="C404" s="28" t="s">
        <v>19</v>
      </c>
      <c r="D404" s="28" t="s">
        <v>32</v>
      </c>
      <c r="E404" s="28" t="s">
        <v>241</v>
      </c>
      <c r="F404" s="28" t="s">
        <v>57</v>
      </c>
      <c r="G404" s="35">
        <v>1000</v>
      </c>
      <c r="H404" s="35">
        <v>1000</v>
      </c>
      <c r="I404" s="35">
        <v>0</v>
      </c>
      <c r="J404" s="35">
        <v>0</v>
      </c>
      <c r="K404" s="35">
        <v>0</v>
      </c>
      <c r="L404" s="35">
        <f t="shared" si="164"/>
        <v>0</v>
      </c>
      <c r="M404" s="35">
        <v>0</v>
      </c>
    </row>
    <row r="405" spans="1:13">
      <c r="A405" s="59" t="s">
        <v>242</v>
      </c>
      <c r="B405" s="28" t="s">
        <v>229</v>
      </c>
      <c r="C405" s="28" t="s">
        <v>19</v>
      </c>
      <c r="D405" s="28" t="s">
        <v>110</v>
      </c>
      <c r="E405" s="58" t="s">
        <v>0</v>
      </c>
      <c r="F405" s="58" t="s">
        <v>0</v>
      </c>
      <c r="G405" s="35">
        <f>G406</f>
        <v>883249.10000000009</v>
      </c>
      <c r="H405" s="35">
        <f t="shared" ref="H405:K405" si="182">H406</f>
        <v>883249.1</v>
      </c>
      <c r="I405" s="35">
        <f t="shared" si="182"/>
        <v>622599.08765999996</v>
      </c>
      <c r="J405" s="35">
        <f t="shared" si="182"/>
        <v>621531.09022000001</v>
      </c>
      <c r="K405" s="35">
        <f t="shared" si="182"/>
        <v>619176.15732</v>
      </c>
      <c r="L405" s="35">
        <f t="shared" si="164"/>
        <v>70.102098866559842</v>
      </c>
      <c r="M405" s="35">
        <f t="shared" si="165"/>
        <v>99.45021918473013</v>
      </c>
    </row>
    <row r="406" spans="1:13" ht="38.25">
      <c r="A406" s="59" t="s">
        <v>231</v>
      </c>
      <c r="B406" s="28" t="s">
        <v>229</v>
      </c>
      <c r="C406" s="28" t="s">
        <v>19</v>
      </c>
      <c r="D406" s="28" t="s">
        <v>110</v>
      </c>
      <c r="E406" s="28" t="s">
        <v>232</v>
      </c>
      <c r="F406" s="58" t="s">
        <v>0</v>
      </c>
      <c r="G406" s="35">
        <f>G407+G419+G426+G439</f>
        <v>883249.10000000009</v>
      </c>
      <c r="H406" s="35">
        <f t="shared" ref="H406:K406" si="183">H407+H419+H426+H439</f>
        <v>883249.1</v>
      </c>
      <c r="I406" s="35">
        <f t="shared" si="183"/>
        <v>622599.08765999996</v>
      </c>
      <c r="J406" s="35">
        <f t="shared" si="183"/>
        <v>621531.09022000001</v>
      </c>
      <c r="K406" s="35">
        <f t="shared" si="183"/>
        <v>619176.15732</v>
      </c>
      <c r="L406" s="35">
        <f t="shared" si="164"/>
        <v>70.102098866559842</v>
      </c>
      <c r="M406" s="35">
        <f t="shared" si="165"/>
        <v>99.45021918473013</v>
      </c>
    </row>
    <row r="407" spans="1:13">
      <c r="A407" s="59" t="s">
        <v>243</v>
      </c>
      <c r="B407" s="28" t="s">
        <v>229</v>
      </c>
      <c r="C407" s="28" t="s">
        <v>19</v>
      </c>
      <c r="D407" s="28" t="s">
        <v>110</v>
      </c>
      <c r="E407" s="28" t="s">
        <v>244</v>
      </c>
      <c r="F407" s="58" t="s">
        <v>0</v>
      </c>
      <c r="G407" s="35">
        <f>G408+G413+G416</f>
        <v>102087</v>
      </c>
      <c r="H407" s="35">
        <f t="shared" ref="H407:K407" si="184">H408+H413+H416</f>
        <v>102087</v>
      </c>
      <c r="I407" s="35">
        <f t="shared" si="184"/>
        <v>62214.170919999997</v>
      </c>
      <c r="J407" s="35">
        <f t="shared" si="184"/>
        <v>62214.170919999997</v>
      </c>
      <c r="K407" s="35">
        <f t="shared" si="184"/>
        <v>62214.170919999997</v>
      </c>
      <c r="L407" s="35">
        <f t="shared" si="164"/>
        <v>60.942305014350509</v>
      </c>
      <c r="M407" s="35">
        <f t="shared" si="165"/>
        <v>100</v>
      </c>
    </row>
    <row r="408" spans="1:13" ht="25.5">
      <c r="A408" s="59" t="s">
        <v>245</v>
      </c>
      <c r="B408" s="28" t="s">
        <v>229</v>
      </c>
      <c r="C408" s="28" t="s">
        <v>19</v>
      </c>
      <c r="D408" s="28" t="s">
        <v>110</v>
      </c>
      <c r="E408" s="28" t="s">
        <v>246</v>
      </c>
      <c r="F408" s="58" t="s">
        <v>0</v>
      </c>
      <c r="G408" s="35">
        <f>G409+G411</f>
        <v>62247</v>
      </c>
      <c r="H408" s="35">
        <f t="shared" ref="H408:K408" si="185">H409+H411</f>
        <v>62247</v>
      </c>
      <c r="I408" s="35">
        <f t="shared" si="185"/>
        <v>36014.170919999997</v>
      </c>
      <c r="J408" s="35">
        <f t="shared" si="185"/>
        <v>36014.170919999997</v>
      </c>
      <c r="K408" s="35">
        <f t="shared" si="185"/>
        <v>36014.170919999997</v>
      </c>
      <c r="L408" s="35">
        <f t="shared" si="164"/>
        <v>57.856878114607923</v>
      </c>
      <c r="M408" s="35">
        <f t="shared" si="165"/>
        <v>100</v>
      </c>
    </row>
    <row r="409" spans="1:13" ht="25.5">
      <c r="A409" s="59" t="s">
        <v>64</v>
      </c>
      <c r="B409" s="28" t="s">
        <v>229</v>
      </c>
      <c r="C409" s="28" t="s">
        <v>19</v>
      </c>
      <c r="D409" s="28" t="s">
        <v>110</v>
      </c>
      <c r="E409" s="28" t="s">
        <v>246</v>
      </c>
      <c r="F409" s="28" t="s">
        <v>65</v>
      </c>
      <c r="G409" s="35">
        <f>G410</f>
        <v>53694.9</v>
      </c>
      <c r="H409" s="35">
        <f t="shared" ref="H409:K409" si="186">H410</f>
        <v>53694.9</v>
      </c>
      <c r="I409" s="35">
        <f t="shared" si="186"/>
        <v>29232</v>
      </c>
      <c r="J409" s="35">
        <f t="shared" si="186"/>
        <v>29232</v>
      </c>
      <c r="K409" s="35">
        <f t="shared" si="186"/>
        <v>29232</v>
      </c>
      <c r="L409" s="35">
        <f t="shared" si="164"/>
        <v>54.440924557080841</v>
      </c>
      <c r="M409" s="35">
        <f t="shared" si="165"/>
        <v>100</v>
      </c>
    </row>
    <row r="410" spans="1:13" ht="25.5">
      <c r="A410" s="59" t="s">
        <v>66</v>
      </c>
      <c r="B410" s="28" t="s">
        <v>229</v>
      </c>
      <c r="C410" s="28" t="s">
        <v>19</v>
      </c>
      <c r="D410" s="28" t="s">
        <v>110</v>
      </c>
      <c r="E410" s="28" t="s">
        <v>246</v>
      </c>
      <c r="F410" s="28" t="s">
        <v>67</v>
      </c>
      <c r="G410" s="35">
        <v>53694.9</v>
      </c>
      <c r="H410" s="35">
        <v>53694.9</v>
      </c>
      <c r="I410" s="35">
        <v>29232</v>
      </c>
      <c r="J410" s="35">
        <v>29232</v>
      </c>
      <c r="K410" s="35">
        <v>29232</v>
      </c>
      <c r="L410" s="35">
        <f t="shared" si="164"/>
        <v>54.440924557080841</v>
      </c>
      <c r="M410" s="35">
        <f t="shared" si="165"/>
        <v>100</v>
      </c>
    </row>
    <row r="411" spans="1:13" ht="25.5">
      <c r="A411" s="59" t="s">
        <v>80</v>
      </c>
      <c r="B411" s="28" t="s">
        <v>229</v>
      </c>
      <c r="C411" s="28" t="s">
        <v>19</v>
      </c>
      <c r="D411" s="28" t="s">
        <v>110</v>
      </c>
      <c r="E411" s="28" t="s">
        <v>246</v>
      </c>
      <c r="F411" s="28" t="s">
        <v>81</v>
      </c>
      <c r="G411" s="35">
        <f>G412</f>
        <v>8552.1</v>
      </c>
      <c r="H411" s="35">
        <f t="shared" ref="H411:K411" si="187">H412</f>
        <v>8552.1</v>
      </c>
      <c r="I411" s="35">
        <f t="shared" si="187"/>
        <v>6782.1709199999996</v>
      </c>
      <c r="J411" s="35">
        <f t="shared" si="187"/>
        <v>6782.1709199999996</v>
      </c>
      <c r="K411" s="35">
        <f t="shared" si="187"/>
        <v>6782.1709199999996</v>
      </c>
      <c r="L411" s="35">
        <f t="shared" si="164"/>
        <v>79.304158276914436</v>
      </c>
      <c r="M411" s="35">
        <f t="shared" si="165"/>
        <v>100</v>
      </c>
    </row>
    <row r="412" spans="1:13">
      <c r="A412" s="59" t="s">
        <v>82</v>
      </c>
      <c r="B412" s="28" t="s">
        <v>229</v>
      </c>
      <c r="C412" s="28" t="s">
        <v>19</v>
      </c>
      <c r="D412" s="28" t="s">
        <v>110</v>
      </c>
      <c r="E412" s="28" t="s">
        <v>246</v>
      </c>
      <c r="F412" s="28" t="s">
        <v>83</v>
      </c>
      <c r="G412" s="35">
        <v>8552.1</v>
      </c>
      <c r="H412" s="35">
        <v>8552.1</v>
      </c>
      <c r="I412" s="35">
        <v>6782.1709199999996</v>
      </c>
      <c r="J412" s="35">
        <v>6782.1709199999996</v>
      </c>
      <c r="K412" s="35">
        <v>6782.1709199999996</v>
      </c>
      <c r="L412" s="35">
        <f t="shared" si="164"/>
        <v>79.304158276914436</v>
      </c>
      <c r="M412" s="35">
        <f t="shared" si="165"/>
        <v>100</v>
      </c>
    </row>
    <row r="413" spans="1:13" ht="25.5">
      <c r="A413" s="59" t="s">
        <v>76</v>
      </c>
      <c r="B413" s="28" t="s">
        <v>229</v>
      </c>
      <c r="C413" s="28" t="s">
        <v>19</v>
      </c>
      <c r="D413" s="28" t="s">
        <v>110</v>
      </c>
      <c r="E413" s="28" t="s">
        <v>247</v>
      </c>
      <c r="F413" s="58" t="s">
        <v>0</v>
      </c>
      <c r="G413" s="35">
        <f>G414</f>
        <v>37840</v>
      </c>
      <c r="H413" s="35">
        <f t="shared" ref="H413:K414" si="188">H414</f>
        <v>37840</v>
      </c>
      <c r="I413" s="35">
        <f t="shared" si="188"/>
        <v>26200</v>
      </c>
      <c r="J413" s="35">
        <f t="shared" si="188"/>
        <v>26200</v>
      </c>
      <c r="K413" s="35">
        <f t="shared" si="188"/>
        <v>26200</v>
      </c>
      <c r="L413" s="35">
        <f t="shared" si="164"/>
        <v>69.238900634249461</v>
      </c>
      <c r="M413" s="35">
        <f t="shared" si="165"/>
        <v>100</v>
      </c>
    </row>
    <row r="414" spans="1:13" ht="25.5">
      <c r="A414" s="59" t="s">
        <v>80</v>
      </c>
      <c r="B414" s="28" t="s">
        <v>229</v>
      </c>
      <c r="C414" s="28" t="s">
        <v>19</v>
      </c>
      <c r="D414" s="28" t="s">
        <v>110</v>
      </c>
      <c r="E414" s="28" t="s">
        <v>247</v>
      </c>
      <c r="F414" s="28" t="s">
        <v>81</v>
      </c>
      <c r="G414" s="35">
        <f>G415</f>
        <v>37840</v>
      </c>
      <c r="H414" s="35">
        <f t="shared" si="188"/>
        <v>37840</v>
      </c>
      <c r="I414" s="35">
        <f t="shared" si="188"/>
        <v>26200</v>
      </c>
      <c r="J414" s="35">
        <f t="shared" si="188"/>
        <v>26200</v>
      </c>
      <c r="K414" s="35">
        <f t="shared" si="188"/>
        <v>26200</v>
      </c>
      <c r="L414" s="35">
        <f t="shared" si="164"/>
        <v>69.238900634249461</v>
      </c>
      <c r="M414" s="35">
        <f t="shared" si="165"/>
        <v>100</v>
      </c>
    </row>
    <row r="415" spans="1:13">
      <c r="A415" s="59" t="s">
        <v>82</v>
      </c>
      <c r="B415" s="28" t="s">
        <v>229</v>
      </c>
      <c r="C415" s="28" t="s">
        <v>19</v>
      </c>
      <c r="D415" s="28" t="s">
        <v>110</v>
      </c>
      <c r="E415" s="28" t="s">
        <v>247</v>
      </c>
      <c r="F415" s="28" t="s">
        <v>83</v>
      </c>
      <c r="G415" s="35">
        <v>37840</v>
      </c>
      <c r="H415" s="35">
        <v>37840</v>
      </c>
      <c r="I415" s="35">
        <v>26200</v>
      </c>
      <c r="J415" s="35">
        <v>26200</v>
      </c>
      <c r="K415" s="35">
        <v>26200</v>
      </c>
      <c r="L415" s="35">
        <f t="shared" si="164"/>
        <v>69.238900634249461</v>
      </c>
      <c r="M415" s="35">
        <f t="shared" si="165"/>
        <v>100</v>
      </c>
    </row>
    <row r="416" spans="1:13" ht="25.5">
      <c r="A416" s="59" t="s">
        <v>248</v>
      </c>
      <c r="B416" s="28" t="s">
        <v>229</v>
      </c>
      <c r="C416" s="28" t="s">
        <v>19</v>
      </c>
      <c r="D416" s="28" t="s">
        <v>110</v>
      </c>
      <c r="E416" s="28" t="s">
        <v>249</v>
      </c>
      <c r="F416" s="58" t="s">
        <v>0</v>
      </c>
      <c r="G416" s="35">
        <f>G417</f>
        <v>2000</v>
      </c>
      <c r="H416" s="35">
        <f t="shared" ref="H416:K417" si="189">H417</f>
        <v>2000</v>
      </c>
      <c r="I416" s="35">
        <f t="shared" si="189"/>
        <v>0</v>
      </c>
      <c r="J416" s="35">
        <f t="shared" si="189"/>
        <v>0</v>
      </c>
      <c r="K416" s="35">
        <f t="shared" si="189"/>
        <v>0</v>
      </c>
      <c r="L416" s="35">
        <f t="shared" si="164"/>
        <v>0</v>
      </c>
      <c r="M416" s="35">
        <v>0</v>
      </c>
    </row>
    <row r="417" spans="1:13" ht="25.5">
      <c r="A417" s="59" t="s">
        <v>64</v>
      </c>
      <c r="B417" s="28" t="s">
        <v>229</v>
      </c>
      <c r="C417" s="28" t="s">
        <v>19</v>
      </c>
      <c r="D417" s="28" t="s">
        <v>110</v>
      </c>
      <c r="E417" s="28" t="s">
        <v>249</v>
      </c>
      <c r="F417" s="28" t="s">
        <v>65</v>
      </c>
      <c r="G417" s="35">
        <f>G418</f>
        <v>2000</v>
      </c>
      <c r="H417" s="35">
        <f t="shared" si="189"/>
        <v>2000</v>
      </c>
      <c r="I417" s="35">
        <f t="shared" si="189"/>
        <v>0</v>
      </c>
      <c r="J417" s="35">
        <f t="shared" si="189"/>
        <v>0</v>
      </c>
      <c r="K417" s="35">
        <f t="shared" si="189"/>
        <v>0</v>
      </c>
      <c r="L417" s="35">
        <f t="shared" si="164"/>
        <v>0</v>
      </c>
      <c r="M417" s="35">
        <v>0</v>
      </c>
    </row>
    <row r="418" spans="1:13" ht="25.5">
      <c r="A418" s="59" t="s">
        <v>66</v>
      </c>
      <c r="B418" s="28" t="s">
        <v>229</v>
      </c>
      <c r="C418" s="28" t="s">
        <v>19</v>
      </c>
      <c r="D418" s="28" t="s">
        <v>110</v>
      </c>
      <c r="E418" s="28" t="s">
        <v>249</v>
      </c>
      <c r="F418" s="28" t="s">
        <v>67</v>
      </c>
      <c r="G418" s="35">
        <v>2000</v>
      </c>
      <c r="H418" s="35">
        <v>2000</v>
      </c>
      <c r="I418" s="35">
        <v>0</v>
      </c>
      <c r="J418" s="35">
        <v>0</v>
      </c>
      <c r="K418" s="35">
        <v>0</v>
      </c>
      <c r="L418" s="35">
        <f t="shared" si="164"/>
        <v>0</v>
      </c>
      <c r="M418" s="35">
        <v>0</v>
      </c>
    </row>
    <row r="419" spans="1:13">
      <c r="A419" s="59" t="s">
        <v>250</v>
      </c>
      <c r="B419" s="28" t="s">
        <v>229</v>
      </c>
      <c r="C419" s="28" t="s">
        <v>19</v>
      </c>
      <c r="D419" s="28" t="s">
        <v>110</v>
      </c>
      <c r="E419" s="28" t="s">
        <v>251</v>
      </c>
      <c r="F419" s="58" t="s">
        <v>0</v>
      </c>
      <c r="G419" s="35">
        <f>G420+G423</f>
        <v>28578.800000000003</v>
      </c>
      <c r="H419" s="35">
        <f t="shared" ref="H419:K419" si="190">H420+H423</f>
        <v>28578.800000000003</v>
      </c>
      <c r="I419" s="35">
        <f t="shared" si="190"/>
        <v>22727.90034</v>
      </c>
      <c r="J419" s="35">
        <f t="shared" si="190"/>
        <v>22727.90034</v>
      </c>
      <c r="K419" s="35">
        <f t="shared" si="190"/>
        <v>22410.390589999999</v>
      </c>
      <c r="L419" s="35">
        <f t="shared" ref="L419:L482" si="191">K419/H419*100</f>
        <v>78.416135701988878</v>
      </c>
      <c r="M419" s="35">
        <f t="shared" ref="M419:M480" si="192">K419/I419*100</f>
        <v>98.602995678218463</v>
      </c>
    </row>
    <row r="420" spans="1:13" ht="25.5">
      <c r="A420" s="59" t="s">
        <v>245</v>
      </c>
      <c r="B420" s="28" t="s">
        <v>229</v>
      </c>
      <c r="C420" s="28" t="s">
        <v>19</v>
      </c>
      <c r="D420" s="28" t="s">
        <v>110</v>
      </c>
      <c r="E420" s="28" t="s">
        <v>252</v>
      </c>
      <c r="F420" s="58" t="s">
        <v>0</v>
      </c>
      <c r="G420" s="35">
        <f>G421</f>
        <v>12309.1</v>
      </c>
      <c r="H420" s="35">
        <f t="shared" ref="H420:K421" si="193">H421</f>
        <v>12309.1</v>
      </c>
      <c r="I420" s="35">
        <f t="shared" si="193"/>
        <v>7693.5003399999996</v>
      </c>
      <c r="J420" s="35">
        <f t="shared" si="193"/>
        <v>7693.5003399999996</v>
      </c>
      <c r="K420" s="35">
        <f t="shared" si="193"/>
        <v>7693.5003399999996</v>
      </c>
      <c r="L420" s="35">
        <f t="shared" si="191"/>
        <v>62.502541534312009</v>
      </c>
      <c r="M420" s="35">
        <f t="shared" si="192"/>
        <v>100</v>
      </c>
    </row>
    <row r="421" spans="1:13" ht="25.5">
      <c r="A421" s="59" t="s">
        <v>80</v>
      </c>
      <c r="B421" s="28" t="s">
        <v>229</v>
      </c>
      <c r="C421" s="28" t="s">
        <v>19</v>
      </c>
      <c r="D421" s="28" t="s">
        <v>110</v>
      </c>
      <c r="E421" s="28" t="s">
        <v>252</v>
      </c>
      <c r="F421" s="28" t="s">
        <v>81</v>
      </c>
      <c r="G421" s="35">
        <f>G422</f>
        <v>12309.1</v>
      </c>
      <c r="H421" s="35">
        <f t="shared" si="193"/>
        <v>12309.1</v>
      </c>
      <c r="I421" s="35">
        <f t="shared" si="193"/>
        <v>7693.5003399999996</v>
      </c>
      <c r="J421" s="35">
        <f t="shared" si="193"/>
        <v>7693.5003399999996</v>
      </c>
      <c r="K421" s="35">
        <f t="shared" si="193"/>
        <v>7693.5003399999996</v>
      </c>
      <c r="L421" s="35">
        <f t="shared" si="191"/>
        <v>62.502541534312009</v>
      </c>
      <c r="M421" s="35">
        <f t="shared" si="192"/>
        <v>100</v>
      </c>
    </row>
    <row r="422" spans="1:13">
      <c r="A422" s="59" t="s">
        <v>82</v>
      </c>
      <c r="B422" s="28" t="s">
        <v>229</v>
      </c>
      <c r="C422" s="28" t="s">
        <v>19</v>
      </c>
      <c r="D422" s="28" t="s">
        <v>110</v>
      </c>
      <c r="E422" s="28" t="s">
        <v>252</v>
      </c>
      <c r="F422" s="28" t="s">
        <v>83</v>
      </c>
      <c r="G422" s="35">
        <v>12309.1</v>
      </c>
      <c r="H422" s="35">
        <v>12309.1</v>
      </c>
      <c r="I422" s="35">
        <v>7693.5003399999996</v>
      </c>
      <c r="J422" s="35">
        <v>7693.5003399999996</v>
      </c>
      <c r="K422" s="35">
        <v>7693.5003399999996</v>
      </c>
      <c r="L422" s="35">
        <f t="shared" si="191"/>
        <v>62.502541534312009</v>
      </c>
      <c r="M422" s="35">
        <f t="shared" si="192"/>
        <v>100</v>
      </c>
    </row>
    <row r="423" spans="1:13" ht="25.5">
      <c r="A423" s="59" t="s">
        <v>76</v>
      </c>
      <c r="B423" s="28" t="s">
        <v>229</v>
      </c>
      <c r="C423" s="28" t="s">
        <v>19</v>
      </c>
      <c r="D423" s="28" t="s">
        <v>110</v>
      </c>
      <c r="E423" s="28" t="s">
        <v>253</v>
      </c>
      <c r="F423" s="58" t="s">
        <v>0</v>
      </c>
      <c r="G423" s="35">
        <f>G424</f>
        <v>16269.7</v>
      </c>
      <c r="H423" s="35">
        <f t="shared" ref="H423:K424" si="194">H424</f>
        <v>16269.7</v>
      </c>
      <c r="I423" s="35">
        <f t="shared" si="194"/>
        <v>15034.4</v>
      </c>
      <c r="J423" s="35">
        <f t="shared" si="194"/>
        <v>15034.4</v>
      </c>
      <c r="K423" s="35">
        <f t="shared" si="194"/>
        <v>14716.89025</v>
      </c>
      <c r="L423" s="35">
        <f t="shared" si="191"/>
        <v>90.455818177348078</v>
      </c>
      <c r="M423" s="35">
        <f t="shared" si="192"/>
        <v>97.888111597403295</v>
      </c>
    </row>
    <row r="424" spans="1:13" ht="25.5">
      <c r="A424" s="59" t="s">
        <v>80</v>
      </c>
      <c r="B424" s="28" t="s">
        <v>229</v>
      </c>
      <c r="C424" s="28" t="s">
        <v>19</v>
      </c>
      <c r="D424" s="28" t="s">
        <v>110</v>
      </c>
      <c r="E424" s="28" t="s">
        <v>253</v>
      </c>
      <c r="F424" s="28" t="s">
        <v>81</v>
      </c>
      <c r="G424" s="35">
        <f>G425</f>
        <v>16269.7</v>
      </c>
      <c r="H424" s="35">
        <f t="shared" si="194"/>
        <v>16269.7</v>
      </c>
      <c r="I424" s="35">
        <f t="shared" si="194"/>
        <v>15034.4</v>
      </c>
      <c r="J424" s="35">
        <f t="shared" si="194"/>
        <v>15034.4</v>
      </c>
      <c r="K424" s="35">
        <f t="shared" si="194"/>
        <v>14716.89025</v>
      </c>
      <c r="L424" s="35">
        <f t="shared" si="191"/>
        <v>90.455818177348078</v>
      </c>
      <c r="M424" s="35">
        <f t="shared" si="192"/>
        <v>97.888111597403295</v>
      </c>
    </row>
    <row r="425" spans="1:13">
      <c r="A425" s="59" t="s">
        <v>82</v>
      </c>
      <c r="B425" s="28" t="s">
        <v>229</v>
      </c>
      <c r="C425" s="28" t="s">
        <v>19</v>
      </c>
      <c r="D425" s="28" t="s">
        <v>110</v>
      </c>
      <c r="E425" s="28" t="s">
        <v>253</v>
      </c>
      <c r="F425" s="28" t="s">
        <v>83</v>
      </c>
      <c r="G425" s="35">
        <v>16269.7</v>
      </c>
      <c r="H425" s="35">
        <v>16269.7</v>
      </c>
      <c r="I425" s="35">
        <v>15034.4</v>
      </c>
      <c r="J425" s="35">
        <v>15034.4</v>
      </c>
      <c r="K425" s="35">
        <v>14716.89025</v>
      </c>
      <c r="L425" s="35">
        <f t="shared" si="191"/>
        <v>90.455818177348078</v>
      </c>
      <c r="M425" s="35">
        <f t="shared" si="192"/>
        <v>97.888111597403295</v>
      </c>
    </row>
    <row r="426" spans="1:13">
      <c r="A426" s="59" t="s">
        <v>254</v>
      </c>
      <c r="B426" s="28" t="s">
        <v>229</v>
      </c>
      <c r="C426" s="28" t="s">
        <v>19</v>
      </c>
      <c r="D426" s="28" t="s">
        <v>110</v>
      </c>
      <c r="E426" s="28" t="s">
        <v>255</v>
      </c>
      <c r="F426" s="58" t="s">
        <v>0</v>
      </c>
      <c r="G426" s="35">
        <f>G427+G430+G433+G436</f>
        <v>251950.5</v>
      </c>
      <c r="H426" s="35">
        <f t="shared" ref="H426:K426" si="195">H427+H430+H433+H436</f>
        <v>251950.5</v>
      </c>
      <c r="I426" s="35">
        <f t="shared" si="195"/>
        <v>204787.51254000003</v>
      </c>
      <c r="J426" s="35">
        <f t="shared" si="195"/>
        <v>204787.51254000003</v>
      </c>
      <c r="K426" s="35">
        <f t="shared" si="195"/>
        <v>204581.56862999999</v>
      </c>
      <c r="L426" s="35">
        <f t="shared" si="191"/>
        <v>81.199111980329462</v>
      </c>
      <c r="M426" s="35">
        <f t="shared" si="192"/>
        <v>99.899435318371872</v>
      </c>
    </row>
    <row r="427" spans="1:13" ht="25.5">
      <c r="A427" s="59" t="s">
        <v>245</v>
      </c>
      <c r="B427" s="28" t="s">
        <v>229</v>
      </c>
      <c r="C427" s="28" t="s">
        <v>19</v>
      </c>
      <c r="D427" s="28" t="s">
        <v>110</v>
      </c>
      <c r="E427" s="28" t="s">
        <v>256</v>
      </c>
      <c r="F427" s="58" t="s">
        <v>0</v>
      </c>
      <c r="G427" s="35">
        <f>G428</f>
        <v>73075.8</v>
      </c>
      <c r="H427" s="35">
        <f t="shared" ref="H427:K428" si="196">H428</f>
        <v>73075.8</v>
      </c>
      <c r="I427" s="35">
        <f t="shared" si="196"/>
        <v>70172.602540000007</v>
      </c>
      <c r="J427" s="35">
        <f t="shared" si="196"/>
        <v>70172.602540000007</v>
      </c>
      <c r="K427" s="35">
        <f t="shared" si="196"/>
        <v>70172.602540000007</v>
      </c>
      <c r="L427" s="35">
        <f t="shared" si="191"/>
        <v>96.0271424192414</v>
      </c>
      <c r="M427" s="35">
        <f t="shared" si="192"/>
        <v>100</v>
      </c>
    </row>
    <row r="428" spans="1:13" ht="25.5">
      <c r="A428" s="59" t="s">
        <v>80</v>
      </c>
      <c r="B428" s="28" t="s">
        <v>229</v>
      </c>
      <c r="C428" s="28" t="s">
        <v>19</v>
      </c>
      <c r="D428" s="28" t="s">
        <v>110</v>
      </c>
      <c r="E428" s="28" t="s">
        <v>256</v>
      </c>
      <c r="F428" s="28" t="s">
        <v>81</v>
      </c>
      <c r="G428" s="35">
        <f>G429</f>
        <v>73075.8</v>
      </c>
      <c r="H428" s="35">
        <f t="shared" si="196"/>
        <v>73075.8</v>
      </c>
      <c r="I428" s="35">
        <f t="shared" si="196"/>
        <v>70172.602540000007</v>
      </c>
      <c r="J428" s="35">
        <f t="shared" si="196"/>
        <v>70172.602540000007</v>
      </c>
      <c r="K428" s="35">
        <f t="shared" si="196"/>
        <v>70172.602540000007</v>
      </c>
      <c r="L428" s="35">
        <f t="shared" si="191"/>
        <v>96.0271424192414</v>
      </c>
      <c r="M428" s="35">
        <f t="shared" si="192"/>
        <v>100</v>
      </c>
    </row>
    <row r="429" spans="1:13">
      <c r="A429" s="59" t="s">
        <v>82</v>
      </c>
      <c r="B429" s="28" t="s">
        <v>229</v>
      </c>
      <c r="C429" s="28" t="s">
        <v>19</v>
      </c>
      <c r="D429" s="28" t="s">
        <v>110</v>
      </c>
      <c r="E429" s="28" t="s">
        <v>256</v>
      </c>
      <c r="F429" s="28" t="s">
        <v>83</v>
      </c>
      <c r="G429" s="35">
        <v>73075.8</v>
      </c>
      <c r="H429" s="35">
        <v>73075.8</v>
      </c>
      <c r="I429" s="35">
        <v>70172.602540000007</v>
      </c>
      <c r="J429" s="35">
        <v>70172.602540000007</v>
      </c>
      <c r="K429" s="35">
        <v>70172.602540000007</v>
      </c>
      <c r="L429" s="35">
        <f t="shared" si="191"/>
        <v>96.0271424192414</v>
      </c>
      <c r="M429" s="35">
        <f t="shared" si="192"/>
        <v>100</v>
      </c>
    </row>
    <row r="430" spans="1:13" ht="25.5">
      <c r="A430" s="59" t="s">
        <v>257</v>
      </c>
      <c r="B430" s="28" t="s">
        <v>229</v>
      </c>
      <c r="C430" s="28" t="s">
        <v>19</v>
      </c>
      <c r="D430" s="28" t="s">
        <v>110</v>
      </c>
      <c r="E430" s="28" t="s">
        <v>258</v>
      </c>
      <c r="F430" s="58" t="s">
        <v>0</v>
      </c>
      <c r="G430" s="35">
        <f>G431</f>
        <v>9598.5</v>
      </c>
      <c r="H430" s="35">
        <f t="shared" ref="H430:K431" si="197">H431</f>
        <v>9598.5</v>
      </c>
      <c r="I430" s="35">
        <f t="shared" si="197"/>
        <v>0</v>
      </c>
      <c r="J430" s="35">
        <f t="shared" si="197"/>
        <v>0</v>
      </c>
      <c r="K430" s="35">
        <f t="shared" si="197"/>
        <v>0</v>
      </c>
      <c r="L430" s="35">
        <f t="shared" si="191"/>
        <v>0</v>
      </c>
      <c r="M430" s="35">
        <v>0</v>
      </c>
    </row>
    <row r="431" spans="1:13" ht="25.5">
      <c r="A431" s="59" t="s">
        <v>64</v>
      </c>
      <c r="B431" s="28" t="s">
        <v>229</v>
      </c>
      <c r="C431" s="28" t="s">
        <v>19</v>
      </c>
      <c r="D431" s="28" t="s">
        <v>110</v>
      </c>
      <c r="E431" s="28" t="s">
        <v>258</v>
      </c>
      <c r="F431" s="28" t="s">
        <v>65</v>
      </c>
      <c r="G431" s="35">
        <f>G432</f>
        <v>9598.5</v>
      </c>
      <c r="H431" s="35">
        <f t="shared" si="197"/>
        <v>9598.5</v>
      </c>
      <c r="I431" s="35">
        <f t="shared" si="197"/>
        <v>0</v>
      </c>
      <c r="J431" s="35">
        <f t="shared" si="197"/>
        <v>0</v>
      </c>
      <c r="K431" s="35">
        <f t="shared" si="197"/>
        <v>0</v>
      </c>
      <c r="L431" s="35">
        <f t="shared" si="191"/>
        <v>0</v>
      </c>
      <c r="M431" s="35">
        <v>0</v>
      </c>
    </row>
    <row r="432" spans="1:13" ht="25.5">
      <c r="A432" s="59" t="s">
        <v>66</v>
      </c>
      <c r="B432" s="28" t="s">
        <v>229</v>
      </c>
      <c r="C432" s="28" t="s">
        <v>19</v>
      </c>
      <c r="D432" s="28" t="s">
        <v>110</v>
      </c>
      <c r="E432" s="28" t="s">
        <v>258</v>
      </c>
      <c r="F432" s="28" t="s">
        <v>67</v>
      </c>
      <c r="G432" s="35">
        <v>9598.5</v>
      </c>
      <c r="H432" s="35">
        <v>9598.5</v>
      </c>
      <c r="I432" s="35">
        <v>0</v>
      </c>
      <c r="J432" s="35">
        <v>0</v>
      </c>
      <c r="K432" s="35">
        <v>0</v>
      </c>
      <c r="L432" s="35">
        <f t="shared" si="191"/>
        <v>0</v>
      </c>
      <c r="M432" s="35">
        <v>0</v>
      </c>
    </row>
    <row r="433" spans="1:13" ht="25.5">
      <c r="A433" s="59" t="s">
        <v>76</v>
      </c>
      <c r="B433" s="28" t="s">
        <v>229</v>
      </c>
      <c r="C433" s="28" t="s">
        <v>19</v>
      </c>
      <c r="D433" s="28" t="s">
        <v>110</v>
      </c>
      <c r="E433" s="28" t="s">
        <v>259</v>
      </c>
      <c r="F433" s="58" t="s">
        <v>0</v>
      </c>
      <c r="G433" s="35">
        <f>G434</f>
        <v>168771</v>
      </c>
      <c r="H433" s="35">
        <f t="shared" ref="H433:K434" si="198">H434</f>
        <v>168771</v>
      </c>
      <c r="I433" s="35">
        <f t="shared" si="198"/>
        <v>134614.91</v>
      </c>
      <c r="J433" s="35">
        <f t="shared" si="198"/>
        <v>134614.91</v>
      </c>
      <c r="K433" s="35">
        <f t="shared" si="198"/>
        <v>134408.96609</v>
      </c>
      <c r="L433" s="35">
        <f t="shared" si="191"/>
        <v>79.639846946454071</v>
      </c>
      <c r="M433" s="35">
        <f t="shared" si="192"/>
        <v>99.84701255603855</v>
      </c>
    </row>
    <row r="434" spans="1:13" ht="25.5">
      <c r="A434" s="59" t="s">
        <v>80</v>
      </c>
      <c r="B434" s="28" t="s">
        <v>229</v>
      </c>
      <c r="C434" s="28" t="s">
        <v>19</v>
      </c>
      <c r="D434" s="28" t="s">
        <v>110</v>
      </c>
      <c r="E434" s="28" t="s">
        <v>259</v>
      </c>
      <c r="F434" s="28" t="s">
        <v>81</v>
      </c>
      <c r="G434" s="35">
        <f>G435</f>
        <v>168771</v>
      </c>
      <c r="H434" s="35">
        <f t="shared" si="198"/>
        <v>168771</v>
      </c>
      <c r="I434" s="35">
        <f t="shared" si="198"/>
        <v>134614.91</v>
      </c>
      <c r="J434" s="35">
        <f t="shared" si="198"/>
        <v>134614.91</v>
      </c>
      <c r="K434" s="35">
        <f t="shared" si="198"/>
        <v>134408.96609</v>
      </c>
      <c r="L434" s="35">
        <f t="shared" si="191"/>
        <v>79.639846946454071</v>
      </c>
      <c r="M434" s="35">
        <f t="shared" si="192"/>
        <v>99.84701255603855</v>
      </c>
    </row>
    <row r="435" spans="1:13">
      <c r="A435" s="59" t="s">
        <v>82</v>
      </c>
      <c r="B435" s="28" t="s">
        <v>229</v>
      </c>
      <c r="C435" s="28" t="s">
        <v>19</v>
      </c>
      <c r="D435" s="28" t="s">
        <v>110</v>
      </c>
      <c r="E435" s="28" t="s">
        <v>259</v>
      </c>
      <c r="F435" s="28" t="s">
        <v>83</v>
      </c>
      <c r="G435" s="35">
        <v>168771</v>
      </c>
      <c r="H435" s="35">
        <v>168771</v>
      </c>
      <c r="I435" s="35">
        <v>134614.91</v>
      </c>
      <c r="J435" s="35">
        <v>134614.91</v>
      </c>
      <c r="K435" s="35">
        <v>134408.96609</v>
      </c>
      <c r="L435" s="35">
        <f t="shared" si="191"/>
        <v>79.639846946454071</v>
      </c>
      <c r="M435" s="35">
        <f t="shared" si="192"/>
        <v>99.84701255603855</v>
      </c>
    </row>
    <row r="436" spans="1:13" ht="25.5">
      <c r="A436" s="59" t="s">
        <v>260</v>
      </c>
      <c r="B436" s="28" t="s">
        <v>229</v>
      </c>
      <c r="C436" s="28" t="s">
        <v>19</v>
      </c>
      <c r="D436" s="28" t="s">
        <v>110</v>
      </c>
      <c r="E436" s="28" t="s">
        <v>261</v>
      </c>
      <c r="F436" s="58" t="s">
        <v>0</v>
      </c>
      <c r="G436" s="35">
        <f>G437</f>
        <v>505.2</v>
      </c>
      <c r="H436" s="35">
        <f t="shared" ref="H436:K437" si="199">H437</f>
        <v>505.2</v>
      </c>
      <c r="I436" s="35">
        <f t="shared" si="199"/>
        <v>0</v>
      </c>
      <c r="J436" s="35">
        <f t="shared" si="199"/>
        <v>0</v>
      </c>
      <c r="K436" s="35">
        <f t="shared" si="199"/>
        <v>0</v>
      </c>
      <c r="L436" s="35">
        <f t="shared" si="191"/>
        <v>0</v>
      </c>
      <c r="M436" s="35">
        <v>0</v>
      </c>
    </row>
    <row r="437" spans="1:13" ht="25.5">
      <c r="A437" s="59" t="s">
        <v>64</v>
      </c>
      <c r="B437" s="28" t="s">
        <v>229</v>
      </c>
      <c r="C437" s="28" t="s">
        <v>19</v>
      </c>
      <c r="D437" s="28" t="s">
        <v>110</v>
      </c>
      <c r="E437" s="28" t="s">
        <v>261</v>
      </c>
      <c r="F437" s="28" t="s">
        <v>65</v>
      </c>
      <c r="G437" s="35">
        <f>G438</f>
        <v>505.2</v>
      </c>
      <c r="H437" s="35">
        <f t="shared" si="199"/>
        <v>505.2</v>
      </c>
      <c r="I437" s="35">
        <f t="shared" si="199"/>
        <v>0</v>
      </c>
      <c r="J437" s="35">
        <f t="shared" si="199"/>
        <v>0</v>
      </c>
      <c r="K437" s="35">
        <f t="shared" si="199"/>
        <v>0</v>
      </c>
      <c r="L437" s="35">
        <f t="shared" si="191"/>
        <v>0</v>
      </c>
      <c r="M437" s="35">
        <v>0</v>
      </c>
    </row>
    <row r="438" spans="1:13" ht="25.5">
      <c r="A438" s="59" t="s">
        <v>66</v>
      </c>
      <c r="B438" s="28" t="s">
        <v>229</v>
      </c>
      <c r="C438" s="28" t="s">
        <v>19</v>
      </c>
      <c r="D438" s="28" t="s">
        <v>110</v>
      </c>
      <c r="E438" s="28" t="s">
        <v>261</v>
      </c>
      <c r="F438" s="28" t="s">
        <v>67</v>
      </c>
      <c r="G438" s="35">
        <v>505.2</v>
      </c>
      <c r="H438" s="35">
        <v>505.2</v>
      </c>
      <c r="I438" s="35">
        <v>0</v>
      </c>
      <c r="J438" s="35">
        <v>0</v>
      </c>
      <c r="K438" s="35">
        <v>0</v>
      </c>
      <c r="L438" s="35">
        <f t="shared" si="191"/>
        <v>0</v>
      </c>
      <c r="M438" s="35">
        <v>0</v>
      </c>
    </row>
    <row r="439" spans="1:13" ht="51">
      <c r="A439" s="59" t="s">
        <v>233</v>
      </c>
      <c r="B439" s="28" t="s">
        <v>229</v>
      </c>
      <c r="C439" s="28" t="s">
        <v>19</v>
      </c>
      <c r="D439" s="28" t="s">
        <v>110</v>
      </c>
      <c r="E439" s="28" t="s">
        <v>234</v>
      </c>
      <c r="F439" s="58" t="s">
        <v>0</v>
      </c>
      <c r="G439" s="35">
        <f>G440+G456+G449</f>
        <v>500632.80000000005</v>
      </c>
      <c r="H439" s="35">
        <f t="shared" ref="H439:K439" si="200">H440+H456+H449</f>
        <v>500632.8</v>
      </c>
      <c r="I439" s="35">
        <f t="shared" si="200"/>
        <v>332869.50386</v>
      </c>
      <c r="J439" s="35">
        <f t="shared" si="200"/>
        <v>331801.50641999999</v>
      </c>
      <c r="K439" s="35">
        <f t="shared" si="200"/>
        <v>329970.02717999998</v>
      </c>
      <c r="L439" s="35">
        <f t="shared" si="191"/>
        <v>65.910588994568471</v>
      </c>
      <c r="M439" s="35">
        <f t="shared" si="192"/>
        <v>99.128944932961033</v>
      </c>
    </row>
    <row r="440" spans="1:13" ht="25.5">
      <c r="A440" s="59" t="s">
        <v>245</v>
      </c>
      <c r="B440" s="28" t="s">
        <v>229</v>
      </c>
      <c r="C440" s="28" t="s">
        <v>19</v>
      </c>
      <c r="D440" s="28" t="s">
        <v>110</v>
      </c>
      <c r="E440" s="28" t="s">
        <v>262</v>
      </c>
      <c r="F440" s="58" t="s">
        <v>0</v>
      </c>
      <c r="G440" s="35">
        <f>G441+G444+G446</f>
        <v>394612.9</v>
      </c>
      <c r="H440" s="35">
        <f t="shared" ref="H440:K440" si="201">H441+H444+H446</f>
        <v>394612.89999999997</v>
      </c>
      <c r="I440" s="35">
        <f t="shared" si="201"/>
        <v>250757.06385999999</v>
      </c>
      <c r="J440" s="35">
        <f t="shared" si="201"/>
        <v>249689.06641999999</v>
      </c>
      <c r="K440" s="35">
        <f t="shared" si="201"/>
        <v>249689.06641999999</v>
      </c>
      <c r="L440" s="35">
        <f t="shared" si="191"/>
        <v>63.274430820685289</v>
      </c>
      <c r="M440" s="35">
        <f t="shared" si="192"/>
        <v>99.574090785894555</v>
      </c>
    </row>
    <row r="441" spans="1:13" ht="63.75">
      <c r="A441" s="59" t="s">
        <v>60</v>
      </c>
      <c r="B441" s="28" t="s">
        <v>229</v>
      </c>
      <c r="C441" s="28" t="s">
        <v>19</v>
      </c>
      <c r="D441" s="28" t="s">
        <v>110</v>
      </c>
      <c r="E441" s="28" t="s">
        <v>262</v>
      </c>
      <c r="F441" s="28" t="s">
        <v>61</v>
      </c>
      <c r="G441" s="35">
        <f>G443+G442</f>
        <v>350039.4</v>
      </c>
      <c r="H441" s="35">
        <f t="shared" ref="H441:K441" si="202">H443+H442</f>
        <v>350025.03772999998</v>
      </c>
      <c r="I441" s="35">
        <f t="shared" si="202"/>
        <v>230609.48290999999</v>
      </c>
      <c r="J441" s="35">
        <f t="shared" si="202"/>
        <v>229541.48546999999</v>
      </c>
      <c r="K441" s="35">
        <f t="shared" si="202"/>
        <v>229541.48546999999</v>
      </c>
      <c r="L441" s="35">
        <f t="shared" si="191"/>
        <v>65.578590308463063</v>
      </c>
      <c r="M441" s="35">
        <f t="shared" si="192"/>
        <v>99.536880519168932</v>
      </c>
    </row>
    <row r="442" spans="1:13" s="88" customFormat="1">
      <c r="A442" s="59" t="s">
        <v>78</v>
      </c>
      <c r="B442" s="28" t="s">
        <v>229</v>
      </c>
      <c r="C442" s="28" t="s">
        <v>19</v>
      </c>
      <c r="D442" s="28" t="s">
        <v>110</v>
      </c>
      <c r="E442" s="28" t="s">
        <v>262</v>
      </c>
      <c r="F442" s="28">
        <v>110</v>
      </c>
      <c r="G442" s="35">
        <v>117571.2</v>
      </c>
      <c r="H442" s="35">
        <f>89839.7+599.9+27131.6</f>
        <v>117571.19999999998</v>
      </c>
      <c r="I442" s="35">
        <f>25736.6588+563.633+5055.77051</f>
        <v>31356.062310000001</v>
      </c>
      <c r="J442" s="35">
        <f>25736.6588+563.633+4931.48402</f>
        <v>31231.775820000003</v>
      </c>
      <c r="K442" s="35">
        <f>25736.6588+563.633+4931.48402</f>
        <v>31231.775820000003</v>
      </c>
      <c r="L442" s="35">
        <f t="shared" si="191"/>
        <v>26.564138003184461</v>
      </c>
      <c r="M442" s="35">
        <f t="shared" si="192"/>
        <v>99.603628514412151</v>
      </c>
    </row>
    <row r="443" spans="1:13" ht="25.5">
      <c r="A443" s="59" t="s">
        <v>62</v>
      </c>
      <c r="B443" s="28" t="s">
        <v>229</v>
      </c>
      <c r="C443" s="28" t="s">
        <v>19</v>
      </c>
      <c r="D443" s="28" t="s">
        <v>110</v>
      </c>
      <c r="E443" s="28" t="s">
        <v>262</v>
      </c>
      <c r="F443" s="28" t="s">
        <v>63</v>
      </c>
      <c r="G443" s="35">
        <v>232468.2</v>
      </c>
      <c r="H443" s="35">
        <f>175206.7+4449.1+52798.03773</f>
        <v>232453.83773000003</v>
      </c>
      <c r="I443" s="35">
        <f>151368.62165+3933.12661+43951.67234</f>
        <v>199253.42059999998</v>
      </c>
      <c r="J443" s="35">
        <f>151368.62165+3933.12661+43007.96139</f>
        <v>198309.70964999998</v>
      </c>
      <c r="K443" s="35">
        <f>151368.62165+3933.12661+43007.96139</f>
        <v>198309.70964999998</v>
      </c>
      <c r="L443" s="35">
        <f t="shared" si="191"/>
        <v>85.311437138044084</v>
      </c>
      <c r="M443" s="35">
        <f t="shared" si="192"/>
        <v>99.526376537397326</v>
      </c>
    </row>
    <row r="444" spans="1:13" ht="25.5">
      <c r="A444" s="59" t="s">
        <v>64</v>
      </c>
      <c r="B444" s="28" t="s">
        <v>229</v>
      </c>
      <c r="C444" s="28" t="s">
        <v>19</v>
      </c>
      <c r="D444" s="28" t="s">
        <v>110</v>
      </c>
      <c r="E444" s="28" t="s">
        <v>262</v>
      </c>
      <c r="F444" s="28" t="s">
        <v>65</v>
      </c>
      <c r="G444" s="35">
        <f>G445</f>
        <v>44040.800000000003</v>
      </c>
      <c r="H444" s="35">
        <f t="shared" ref="H444:K444" si="203">H445</f>
        <v>44040.800000000003</v>
      </c>
      <c r="I444" s="35">
        <f t="shared" si="203"/>
        <v>19731.750260000001</v>
      </c>
      <c r="J444" s="35">
        <f t="shared" si="203"/>
        <v>19731.750260000001</v>
      </c>
      <c r="K444" s="35">
        <f t="shared" si="203"/>
        <v>19731.750260000001</v>
      </c>
      <c r="L444" s="35">
        <f t="shared" si="191"/>
        <v>44.803342037383516</v>
      </c>
      <c r="M444" s="35">
        <f t="shared" si="192"/>
        <v>100</v>
      </c>
    </row>
    <row r="445" spans="1:13" ht="25.5">
      <c r="A445" s="59" t="s">
        <v>66</v>
      </c>
      <c r="B445" s="28" t="s">
        <v>229</v>
      </c>
      <c r="C445" s="28" t="s">
        <v>19</v>
      </c>
      <c r="D445" s="28" t="s">
        <v>110</v>
      </c>
      <c r="E445" s="28" t="s">
        <v>262</v>
      </c>
      <c r="F445" s="28" t="s">
        <v>67</v>
      </c>
      <c r="G445" s="35">
        <v>44040.800000000003</v>
      </c>
      <c r="H445" s="35">
        <v>44040.800000000003</v>
      </c>
      <c r="I445" s="35">
        <v>19731.750260000001</v>
      </c>
      <c r="J445" s="35">
        <v>19731.750260000001</v>
      </c>
      <c r="K445" s="35">
        <v>19731.750260000001</v>
      </c>
      <c r="L445" s="35">
        <f t="shared" si="191"/>
        <v>44.803342037383516</v>
      </c>
      <c r="M445" s="35">
        <f t="shared" si="192"/>
        <v>100</v>
      </c>
    </row>
    <row r="446" spans="1:13">
      <c r="A446" s="59" t="s">
        <v>72</v>
      </c>
      <c r="B446" s="28" t="s">
        <v>229</v>
      </c>
      <c r="C446" s="28" t="s">
        <v>19</v>
      </c>
      <c r="D446" s="28" t="s">
        <v>110</v>
      </c>
      <c r="E446" s="28" t="s">
        <v>262</v>
      </c>
      <c r="F446" s="28" t="s">
        <v>73</v>
      </c>
      <c r="G446" s="35">
        <f>G447+G448</f>
        <v>532.70000000000005</v>
      </c>
      <c r="H446" s="35">
        <f>H447+H448</f>
        <v>547.06227000000001</v>
      </c>
      <c r="I446" s="35">
        <f>I447+I448</f>
        <v>415.83069</v>
      </c>
      <c r="J446" s="35">
        <f>J447+J448</f>
        <v>415.83069</v>
      </c>
      <c r="K446" s="35">
        <f>K447+K448</f>
        <v>415.83069</v>
      </c>
      <c r="L446" s="35">
        <f t="shared" si="191"/>
        <v>76.011582739931953</v>
      </c>
      <c r="M446" s="35">
        <f t="shared" si="192"/>
        <v>100</v>
      </c>
    </row>
    <row r="447" spans="1:13">
      <c r="A447" s="59" t="s">
        <v>84</v>
      </c>
      <c r="B447" s="28" t="s">
        <v>229</v>
      </c>
      <c r="C447" s="28" t="s">
        <v>19</v>
      </c>
      <c r="D447" s="28" t="s">
        <v>110</v>
      </c>
      <c r="E447" s="28" t="s">
        <v>262</v>
      </c>
      <c r="F447" s="28" t="s">
        <v>85</v>
      </c>
      <c r="G447" s="35">
        <v>180</v>
      </c>
      <c r="H447" s="35">
        <v>194.36227</v>
      </c>
      <c r="I447" s="35">
        <v>191.8749</v>
      </c>
      <c r="J447" s="35">
        <v>191.8749</v>
      </c>
      <c r="K447" s="35">
        <v>191.8749</v>
      </c>
      <c r="L447" s="35">
        <f t="shared" si="191"/>
        <v>98.720240301782852</v>
      </c>
      <c r="M447" s="35">
        <f t="shared" si="192"/>
        <v>100</v>
      </c>
    </row>
    <row r="448" spans="1:13">
      <c r="A448" s="59" t="s">
        <v>74</v>
      </c>
      <c r="B448" s="28" t="s">
        <v>229</v>
      </c>
      <c r="C448" s="28" t="s">
        <v>19</v>
      </c>
      <c r="D448" s="28" t="s">
        <v>110</v>
      </c>
      <c r="E448" s="28" t="s">
        <v>262</v>
      </c>
      <c r="F448" s="28" t="s">
        <v>75</v>
      </c>
      <c r="G448" s="35">
        <v>352.7</v>
      </c>
      <c r="H448" s="35">
        <f>229.7+123</f>
        <v>352.7</v>
      </c>
      <c r="I448" s="35">
        <f>101.53303+122.42276</f>
        <v>223.95578999999998</v>
      </c>
      <c r="J448" s="35">
        <f>101.53303+122.42276</f>
        <v>223.95578999999998</v>
      </c>
      <c r="K448" s="35">
        <f>101.53303+122.42276</f>
        <v>223.95578999999998</v>
      </c>
      <c r="L448" s="35">
        <f t="shared" si="191"/>
        <v>63.497530479160758</v>
      </c>
      <c r="M448" s="35">
        <f t="shared" si="192"/>
        <v>100</v>
      </c>
    </row>
    <row r="449" spans="1:13" s="88" customFormat="1" ht="25.5">
      <c r="A449" s="59" t="s">
        <v>76</v>
      </c>
      <c r="B449" s="28" t="s">
        <v>229</v>
      </c>
      <c r="C449" s="28" t="s">
        <v>19</v>
      </c>
      <c r="D449" s="28" t="s">
        <v>110</v>
      </c>
      <c r="E449" s="29" t="s">
        <v>1232</v>
      </c>
      <c r="F449" s="28"/>
      <c r="G449" s="35">
        <f>G450+G452+G454</f>
        <v>34592.100000000006</v>
      </c>
      <c r="H449" s="35">
        <f t="shared" ref="H449:K449" si="204">H450+H452+H454</f>
        <v>34592.112000000001</v>
      </c>
      <c r="I449" s="35">
        <f t="shared" si="204"/>
        <v>11097.4</v>
      </c>
      <c r="J449" s="35">
        <f t="shared" si="204"/>
        <v>11097.4</v>
      </c>
      <c r="K449" s="35">
        <f t="shared" si="204"/>
        <v>9499.0937199999989</v>
      </c>
      <c r="L449" s="35">
        <f t="shared" si="191"/>
        <v>27.460288403321542</v>
      </c>
      <c r="M449" s="35">
        <f t="shared" si="192"/>
        <v>85.597470758916501</v>
      </c>
    </row>
    <row r="450" spans="1:13" s="88" customFormat="1" ht="63.75">
      <c r="A450" s="59" t="s">
        <v>60</v>
      </c>
      <c r="B450" s="28" t="s">
        <v>229</v>
      </c>
      <c r="C450" s="28" t="s">
        <v>19</v>
      </c>
      <c r="D450" s="28" t="s">
        <v>110</v>
      </c>
      <c r="E450" s="29" t="s">
        <v>1232</v>
      </c>
      <c r="F450" s="28">
        <v>100</v>
      </c>
      <c r="G450" s="35">
        <f>G451</f>
        <v>30319.4</v>
      </c>
      <c r="H450" s="35">
        <f t="shared" ref="H450:K450" si="205">H451</f>
        <v>30319.412</v>
      </c>
      <c r="I450" s="35">
        <f t="shared" si="205"/>
        <v>9512.2999999999993</v>
      </c>
      <c r="J450" s="35">
        <f t="shared" si="205"/>
        <v>9512.2999999999993</v>
      </c>
      <c r="K450" s="35">
        <f t="shared" si="205"/>
        <v>8514.1742799999993</v>
      </c>
      <c r="L450" s="35">
        <f t="shared" si="191"/>
        <v>28.081594326433507</v>
      </c>
      <c r="M450" s="35">
        <f t="shared" si="192"/>
        <v>89.506999148470925</v>
      </c>
    </row>
    <row r="451" spans="1:13" s="88" customFormat="1">
      <c r="A451" s="59" t="s">
        <v>78</v>
      </c>
      <c r="B451" s="28" t="s">
        <v>229</v>
      </c>
      <c r="C451" s="28" t="s">
        <v>19</v>
      </c>
      <c r="D451" s="28" t="s">
        <v>110</v>
      </c>
      <c r="E451" s="29" t="s">
        <v>1232</v>
      </c>
      <c r="F451" s="28">
        <v>110</v>
      </c>
      <c r="G451" s="35">
        <v>30319.4</v>
      </c>
      <c r="H451" s="35">
        <f>23278.091+7041.321</f>
        <v>30319.412</v>
      </c>
      <c r="I451" s="35">
        <f>7700+1812.3</f>
        <v>9512.2999999999993</v>
      </c>
      <c r="J451" s="35">
        <f>1812.3+7700</f>
        <v>9512.2999999999993</v>
      </c>
      <c r="K451" s="35">
        <f>6825.48826+1688.68602</f>
        <v>8514.1742799999993</v>
      </c>
      <c r="L451" s="35">
        <f t="shared" si="191"/>
        <v>28.081594326433507</v>
      </c>
      <c r="M451" s="35">
        <f t="shared" si="192"/>
        <v>89.506999148470925</v>
      </c>
    </row>
    <row r="452" spans="1:13" s="88" customFormat="1" ht="25.5">
      <c r="A452" s="59" t="s">
        <v>64</v>
      </c>
      <c r="B452" s="28" t="s">
        <v>229</v>
      </c>
      <c r="C452" s="28" t="s">
        <v>19</v>
      </c>
      <c r="D452" s="28" t="s">
        <v>110</v>
      </c>
      <c r="E452" s="29" t="s">
        <v>1232</v>
      </c>
      <c r="F452" s="28">
        <v>200</v>
      </c>
      <c r="G452" s="35">
        <f>G453</f>
        <v>3221.3</v>
      </c>
      <c r="H452" s="35">
        <f t="shared" ref="H452:K452" si="206">H453</f>
        <v>3221.3</v>
      </c>
      <c r="I452" s="35">
        <f t="shared" si="206"/>
        <v>1356.5</v>
      </c>
      <c r="J452" s="35">
        <f t="shared" si="206"/>
        <v>1356.5</v>
      </c>
      <c r="K452" s="35">
        <f t="shared" si="206"/>
        <v>923.76143999999999</v>
      </c>
      <c r="L452" s="35">
        <f t="shared" si="191"/>
        <v>28.676665942321421</v>
      </c>
      <c r="M452" s="35">
        <f t="shared" si="192"/>
        <v>68.098889789900468</v>
      </c>
    </row>
    <row r="453" spans="1:13" s="88" customFormat="1" ht="25.5">
      <c r="A453" s="59" t="s">
        <v>66</v>
      </c>
      <c r="B453" s="28" t="s">
        <v>229</v>
      </c>
      <c r="C453" s="28" t="s">
        <v>19</v>
      </c>
      <c r="D453" s="28" t="s">
        <v>110</v>
      </c>
      <c r="E453" s="29" t="s">
        <v>1232</v>
      </c>
      <c r="F453" s="28">
        <v>240</v>
      </c>
      <c r="G453" s="35">
        <v>3221.3</v>
      </c>
      <c r="H453" s="35">
        <v>3221.3</v>
      </c>
      <c r="I453" s="35">
        <v>1356.5</v>
      </c>
      <c r="J453" s="35">
        <v>1356.5</v>
      </c>
      <c r="K453" s="35">
        <v>923.76143999999999</v>
      </c>
      <c r="L453" s="35">
        <f t="shared" si="191"/>
        <v>28.676665942321421</v>
      </c>
      <c r="M453" s="35">
        <f t="shared" si="192"/>
        <v>68.098889789900468</v>
      </c>
    </row>
    <row r="454" spans="1:13" s="88" customFormat="1">
      <c r="A454" s="59" t="s">
        <v>72</v>
      </c>
      <c r="B454" s="28" t="s">
        <v>229</v>
      </c>
      <c r="C454" s="28" t="s">
        <v>19</v>
      </c>
      <c r="D454" s="28" t="s">
        <v>110</v>
      </c>
      <c r="E454" s="29" t="s">
        <v>1232</v>
      </c>
      <c r="F454" s="28">
        <v>800</v>
      </c>
      <c r="G454" s="35">
        <f>G455</f>
        <v>1051.4000000000001</v>
      </c>
      <c r="H454" s="35">
        <f t="shared" ref="H454:K454" si="207">H455</f>
        <v>1051.4000000000001</v>
      </c>
      <c r="I454" s="35">
        <f t="shared" si="207"/>
        <v>228.6</v>
      </c>
      <c r="J454" s="35">
        <f t="shared" si="207"/>
        <v>228.6</v>
      </c>
      <c r="K454" s="35">
        <f t="shared" si="207"/>
        <v>61.158000000000001</v>
      </c>
      <c r="L454" s="35">
        <f t="shared" si="191"/>
        <v>5.8168156743389767</v>
      </c>
      <c r="M454" s="35">
        <f t="shared" si="192"/>
        <v>26.753280839895016</v>
      </c>
    </row>
    <row r="455" spans="1:13" s="88" customFormat="1">
      <c r="A455" s="59" t="s">
        <v>74</v>
      </c>
      <c r="B455" s="28" t="s">
        <v>229</v>
      </c>
      <c r="C455" s="28" t="s">
        <v>19</v>
      </c>
      <c r="D455" s="28" t="s">
        <v>110</v>
      </c>
      <c r="E455" s="29" t="s">
        <v>1232</v>
      </c>
      <c r="F455" s="28">
        <v>850</v>
      </c>
      <c r="G455" s="35">
        <v>1051.4000000000001</v>
      </c>
      <c r="H455" s="35">
        <f>836.9+212.5+2</f>
        <v>1051.4000000000001</v>
      </c>
      <c r="I455" s="35">
        <f>88.6+140</f>
        <v>228.6</v>
      </c>
      <c r="J455" s="35">
        <f>88.6+140</f>
        <v>228.6</v>
      </c>
      <c r="K455" s="35">
        <f>24.832+36.326</f>
        <v>61.158000000000001</v>
      </c>
      <c r="L455" s="35">
        <f t="shared" si="191"/>
        <v>5.8168156743389767</v>
      </c>
      <c r="M455" s="35">
        <f t="shared" si="192"/>
        <v>26.753280839895016</v>
      </c>
    </row>
    <row r="456" spans="1:13" ht="25.5">
      <c r="A456" s="59" t="s">
        <v>248</v>
      </c>
      <c r="B456" s="28" t="s">
        <v>229</v>
      </c>
      <c r="C456" s="28" t="s">
        <v>19</v>
      </c>
      <c r="D456" s="28" t="s">
        <v>110</v>
      </c>
      <c r="E456" s="28" t="s">
        <v>263</v>
      </c>
      <c r="F456" s="58" t="s">
        <v>0</v>
      </c>
      <c r="G456" s="35">
        <f>G457+G459</f>
        <v>71427.8</v>
      </c>
      <c r="H456" s="35">
        <f>H457+H459</f>
        <v>71427.788</v>
      </c>
      <c r="I456" s="35">
        <f>I457+I459</f>
        <v>71015.039999999994</v>
      </c>
      <c r="J456" s="35">
        <f>J457+J459</f>
        <v>71015.039999999994</v>
      </c>
      <c r="K456" s="35">
        <f>K457+K459</f>
        <v>70781.867039999997</v>
      </c>
      <c r="L456" s="35">
        <f t="shared" si="191"/>
        <v>99.095700737645686</v>
      </c>
      <c r="M456" s="35">
        <f t="shared" si="192"/>
        <v>99.671656933517184</v>
      </c>
    </row>
    <row r="457" spans="1:13" ht="63.75">
      <c r="A457" s="59" t="s">
        <v>60</v>
      </c>
      <c r="B457" s="28" t="s">
        <v>229</v>
      </c>
      <c r="C457" s="28" t="s">
        <v>19</v>
      </c>
      <c r="D457" s="28" t="s">
        <v>110</v>
      </c>
      <c r="E457" s="28" t="s">
        <v>263</v>
      </c>
      <c r="F457" s="28" t="s">
        <v>61</v>
      </c>
      <c r="G457" s="35">
        <f>G458</f>
        <v>71047.600000000006</v>
      </c>
      <c r="H457" s="35">
        <f t="shared" ref="H457:K457" si="208">H458</f>
        <v>71047.588000000003</v>
      </c>
      <c r="I457" s="35">
        <f t="shared" si="208"/>
        <v>70734.84</v>
      </c>
      <c r="J457" s="35">
        <f t="shared" si="208"/>
        <v>70734.84</v>
      </c>
      <c r="K457" s="35">
        <f t="shared" si="208"/>
        <v>70667.867039999997</v>
      </c>
      <c r="L457" s="35">
        <f t="shared" si="191"/>
        <v>99.465539970195735</v>
      </c>
      <c r="M457" s="35">
        <f t="shared" si="192"/>
        <v>99.905318284455007</v>
      </c>
    </row>
    <row r="458" spans="1:13" ht="25.5">
      <c r="A458" s="59" t="s">
        <v>62</v>
      </c>
      <c r="B458" s="28" t="s">
        <v>229</v>
      </c>
      <c r="C458" s="28" t="s">
        <v>19</v>
      </c>
      <c r="D458" s="28" t="s">
        <v>110</v>
      </c>
      <c r="E458" s="28" t="s">
        <v>263</v>
      </c>
      <c r="F458" s="28" t="s">
        <v>63</v>
      </c>
      <c r="G458" s="35">
        <v>71047.600000000006</v>
      </c>
      <c r="H458" s="35">
        <f>59087.8+11959.788</f>
        <v>71047.588000000003</v>
      </c>
      <c r="I458" s="35">
        <f>58849.2+11885.64</f>
        <v>70734.84</v>
      </c>
      <c r="J458" s="35">
        <f>58849.2+11885.64</f>
        <v>70734.84</v>
      </c>
      <c r="K458" s="35">
        <f>58794.57743+11873.28961</f>
        <v>70667.867039999997</v>
      </c>
      <c r="L458" s="35">
        <f t="shared" si="191"/>
        <v>99.465539970195735</v>
      </c>
      <c r="M458" s="35">
        <f t="shared" si="192"/>
        <v>99.905318284455007</v>
      </c>
    </row>
    <row r="459" spans="1:13" ht="25.5">
      <c r="A459" s="59" t="s">
        <v>64</v>
      </c>
      <c r="B459" s="28" t="s">
        <v>229</v>
      </c>
      <c r="C459" s="28" t="s">
        <v>19</v>
      </c>
      <c r="D459" s="28" t="s">
        <v>110</v>
      </c>
      <c r="E459" s="28" t="s">
        <v>263</v>
      </c>
      <c r="F459" s="28" t="s">
        <v>65</v>
      </c>
      <c r="G459" s="35">
        <f>G460</f>
        <v>380.2</v>
      </c>
      <c r="H459" s="35">
        <f t="shared" ref="H459:K459" si="209">H460</f>
        <v>380.2</v>
      </c>
      <c r="I459" s="35">
        <f t="shared" si="209"/>
        <v>280.2</v>
      </c>
      <c r="J459" s="35">
        <f t="shared" si="209"/>
        <v>280.2</v>
      </c>
      <c r="K459" s="35">
        <f t="shared" si="209"/>
        <v>114</v>
      </c>
      <c r="L459" s="35">
        <f t="shared" si="191"/>
        <v>29.984218832193584</v>
      </c>
      <c r="M459" s="35">
        <f t="shared" si="192"/>
        <v>40.685224839400433</v>
      </c>
    </row>
    <row r="460" spans="1:13" ht="25.5">
      <c r="A460" s="59" t="s">
        <v>66</v>
      </c>
      <c r="B460" s="28" t="s">
        <v>229</v>
      </c>
      <c r="C460" s="28" t="s">
        <v>19</v>
      </c>
      <c r="D460" s="28" t="s">
        <v>110</v>
      </c>
      <c r="E460" s="28" t="s">
        <v>263</v>
      </c>
      <c r="F460" s="28" t="s">
        <v>67</v>
      </c>
      <c r="G460" s="35">
        <v>380.2</v>
      </c>
      <c r="H460" s="35">
        <v>380.2</v>
      </c>
      <c r="I460" s="35">
        <v>280.2</v>
      </c>
      <c r="J460" s="35">
        <v>280.2</v>
      </c>
      <c r="K460" s="35">
        <v>114</v>
      </c>
      <c r="L460" s="35">
        <f t="shared" si="191"/>
        <v>29.984218832193584</v>
      </c>
      <c r="M460" s="35">
        <f t="shared" si="192"/>
        <v>40.685224839400433</v>
      </c>
    </row>
    <row r="461" spans="1:13" s="88" customFormat="1">
      <c r="A461" s="59"/>
      <c r="B461" s="28"/>
      <c r="C461" s="28"/>
      <c r="D461" s="28"/>
      <c r="E461" s="28"/>
      <c r="F461" s="28"/>
      <c r="G461" s="35"/>
      <c r="H461" s="35"/>
      <c r="I461" s="35"/>
      <c r="J461" s="35"/>
      <c r="K461" s="35"/>
      <c r="L461" s="35"/>
      <c r="M461" s="35"/>
    </row>
    <row r="462" spans="1:13">
      <c r="A462" s="59" t="s">
        <v>264</v>
      </c>
      <c r="B462" s="28" t="s">
        <v>229</v>
      </c>
      <c r="C462" s="28" t="s">
        <v>32</v>
      </c>
      <c r="D462" s="58" t="s">
        <v>0</v>
      </c>
      <c r="E462" s="58" t="s">
        <v>0</v>
      </c>
      <c r="F462" s="58" t="s">
        <v>0</v>
      </c>
      <c r="G462" s="35">
        <f>G463</f>
        <v>62710.200000000004</v>
      </c>
      <c r="H462" s="35">
        <f t="shared" ref="H462:K462" si="210">H463</f>
        <v>64860.200000000004</v>
      </c>
      <c r="I462" s="35">
        <f t="shared" si="210"/>
        <v>38151.55186</v>
      </c>
      <c r="J462" s="35">
        <f t="shared" si="210"/>
        <v>38151.55186</v>
      </c>
      <c r="K462" s="35">
        <f t="shared" si="210"/>
        <v>37793.473859999998</v>
      </c>
      <c r="L462" s="35">
        <f t="shared" si="191"/>
        <v>58.269129389055216</v>
      </c>
      <c r="M462" s="35">
        <f t="shared" si="192"/>
        <v>99.06143267431429</v>
      </c>
    </row>
    <row r="463" spans="1:13" ht="25.5">
      <c r="A463" s="59" t="s">
        <v>265</v>
      </c>
      <c r="B463" s="28" t="s">
        <v>229</v>
      </c>
      <c r="C463" s="28" t="s">
        <v>32</v>
      </c>
      <c r="D463" s="28" t="s">
        <v>150</v>
      </c>
      <c r="E463" s="58" t="s">
        <v>0</v>
      </c>
      <c r="F463" s="58" t="s">
        <v>0</v>
      </c>
      <c r="G463" s="35">
        <f>G464+G469</f>
        <v>62710.200000000004</v>
      </c>
      <c r="H463" s="35">
        <f>H464+H469+H491</f>
        <v>64860.200000000004</v>
      </c>
      <c r="I463" s="35">
        <f t="shared" ref="I463:K463" si="211">I464+I469+I491</f>
        <v>38151.55186</v>
      </c>
      <c r="J463" s="35">
        <f t="shared" si="211"/>
        <v>38151.55186</v>
      </c>
      <c r="K463" s="35">
        <f t="shared" si="211"/>
        <v>37793.473859999998</v>
      </c>
      <c r="L463" s="35">
        <f t="shared" si="191"/>
        <v>58.269129389055216</v>
      </c>
      <c r="M463" s="35">
        <f t="shared" si="192"/>
        <v>99.06143267431429</v>
      </c>
    </row>
    <row r="464" spans="1:13" ht="76.5">
      <c r="A464" s="59" t="s">
        <v>86</v>
      </c>
      <c r="B464" s="28" t="s">
        <v>229</v>
      </c>
      <c r="C464" s="28" t="s">
        <v>32</v>
      </c>
      <c r="D464" s="28" t="s">
        <v>150</v>
      </c>
      <c r="E464" s="28" t="s">
        <v>87</v>
      </c>
      <c r="F464" s="58" t="s">
        <v>0</v>
      </c>
      <c r="G464" s="35">
        <f>G465</f>
        <v>300</v>
      </c>
      <c r="H464" s="35">
        <f t="shared" ref="H464:K466" si="212">H465</f>
        <v>300</v>
      </c>
      <c r="I464" s="35">
        <f t="shared" si="212"/>
        <v>300</v>
      </c>
      <c r="J464" s="35">
        <f t="shared" si="212"/>
        <v>300</v>
      </c>
      <c r="K464" s="35">
        <f t="shared" si="212"/>
        <v>299.92200000000003</v>
      </c>
      <c r="L464" s="35">
        <f t="shared" si="191"/>
        <v>99.974000000000004</v>
      </c>
      <c r="M464" s="35">
        <f t="shared" si="192"/>
        <v>99.974000000000004</v>
      </c>
    </row>
    <row r="465" spans="1:13" ht="25.5">
      <c r="A465" s="59" t="s">
        <v>88</v>
      </c>
      <c r="B465" s="28" t="s">
        <v>229</v>
      </c>
      <c r="C465" s="28" t="s">
        <v>32</v>
      </c>
      <c r="D465" s="28" t="s">
        <v>150</v>
      </c>
      <c r="E465" s="28" t="s">
        <v>89</v>
      </c>
      <c r="F465" s="58" t="s">
        <v>0</v>
      </c>
      <c r="G465" s="35">
        <f>G466</f>
        <v>300</v>
      </c>
      <c r="H465" s="35">
        <f t="shared" si="212"/>
        <v>300</v>
      </c>
      <c r="I465" s="35">
        <f t="shared" si="212"/>
        <v>300</v>
      </c>
      <c r="J465" s="35">
        <f t="shared" si="212"/>
        <v>300</v>
      </c>
      <c r="K465" s="35">
        <f t="shared" si="212"/>
        <v>299.92200000000003</v>
      </c>
      <c r="L465" s="35">
        <f t="shared" si="191"/>
        <v>99.974000000000004</v>
      </c>
      <c r="M465" s="35">
        <f t="shared" si="192"/>
        <v>99.974000000000004</v>
      </c>
    </row>
    <row r="466" spans="1:13" ht="25.5">
      <c r="A466" s="59" t="s">
        <v>266</v>
      </c>
      <c r="B466" s="28" t="s">
        <v>229</v>
      </c>
      <c r="C466" s="28" t="s">
        <v>32</v>
      </c>
      <c r="D466" s="28" t="s">
        <v>150</v>
      </c>
      <c r="E466" s="28" t="s">
        <v>267</v>
      </c>
      <c r="F466" s="58" t="s">
        <v>0</v>
      </c>
      <c r="G466" s="35">
        <f>G467</f>
        <v>300</v>
      </c>
      <c r="H466" s="35">
        <f t="shared" si="212"/>
        <v>300</v>
      </c>
      <c r="I466" s="35">
        <f t="shared" si="212"/>
        <v>300</v>
      </c>
      <c r="J466" s="35">
        <f t="shared" si="212"/>
        <v>300</v>
      </c>
      <c r="K466" s="35">
        <f t="shared" si="212"/>
        <v>299.92200000000003</v>
      </c>
      <c r="L466" s="35">
        <f t="shared" si="191"/>
        <v>99.974000000000004</v>
      </c>
      <c r="M466" s="35">
        <f t="shared" si="192"/>
        <v>99.974000000000004</v>
      </c>
    </row>
    <row r="467" spans="1:13">
      <c r="A467" s="59" t="s">
        <v>68</v>
      </c>
      <c r="B467" s="28" t="s">
        <v>229</v>
      </c>
      <c r="C467" s="28" t="s">
        <v>32</v>
      </c>
      <c r="D467" s="28" t="s">
        <v>150</v>
      </c>
      <c r="E467" s="28" t="s">
        <v>267</v>
      </c>
      <c r="F467" s="28" t="s">
        <v>69</v>
      </c>
      <c r="G467" s="35">
        <f>G468</f>
        <v>300</v>
      </c>
      <c r="H467" s="35">
        <f t="shared" ref="H467:K467" si="213">H468</f>
        <v>300</v>
      </c>
      <c r="I467" s="35">
        <f t="shared" si="213"/>
        <v>300</v>
      </c>
      <c r="J467" s="35">
        <f t="shared" si="213"/>
        <v>300</v>
      </c>
      <c r="K467" s="35">
        <f t="shared" si="213"/>
        <v>299.92200000000003</v>
      </c>
      <c r="L467" s="35">
        <f t="shared" si="191"/>
        <v>99.974000000000004</v>
      </c>
      <c r="M467" s="35">
        <f t="shared" si="192"/>
        <v>99.974000000000004</v>
      </c>
    </row>
    <row r="468" spans="1:13">
      <c r="A468" s="59" t="s">
        <v>70</v>
      </c>
      <c r="B468" s="28" t="s">
        <v>229</v>
      </c>
      <c r="C468" s="28" t="s">
        <v>32</v>
      </c>
      <c r="D468" s="28" t="s">
        <v>150</v>
      </c>
      <c r="E468" s="28" t="s">
        <v>267</v>
      </c>
      <c r="F468" s="28" t="s">
        <v>71</v>
      </c>
      <c r="G468" s="35">
        <v>300</v>
      </c>
      <c r="H468" s="35">
        <v>300</v>
      </c>
      <c r="I468" s="35">
        <v>300</v>
      </c>
      <c r="J468" s="35">
        <v>300</v>
      </c>
      <c r="K468" s="35">
        <v>299.92200000000003</v>
      </c>
      <c r="L468" s="35">
        <f t="shared" si="191"/>
        <v>99.974000000000004</v>
      </c>
      <c r="M468" s="35">
        <f t="shared" si="192"/>
        <v>99.974000000000004</v>
      </c>
    </row>
    <row r="469" spans="1:13" ht="51">
      <c r="A469" s="59" t="s">
        <v>33</v>
      </c>
      <c r="B469" s="28" t="s">
        <v>229</v>
      </c>
      <c r="C469" s="28" t="s">
        <v>32</v>
      </c>
      <c r="D469" s="28" t="s">
        <v>150</v>
      </c>
      <c r="E469" s="28" t="s">
        <v>34</v>
      </c>
      <c r="F469" s="58" t="s">
        <v>0</v>
      </c>
      <c r="G469" s="35">
        <f>G470+G480</f>
        <v>62410.200000000004</v>
      </c>
      <c r="H469" s="35">
        <f t="shared" ref="H469:K469" si="214">H470+H480</f>
        <v>62410.200000000004</v>
      </c>
      <c r="I469" s="35">
        <f t="shared" si="214"/>
        <v>35701.55186</v>
      </c>
      <c r="J469" s="35">
        <f t="shared" si="214"/>
        <v>35701.55186</v>
      </c>
      <c r="K469" s="35">
        <f t="shared" si="214"/>
        <v>35701.55186</v>
      </c>
      <c r="L469" s="35">
        <f t="shared" si="191"/>
        <v>57.204674652540767</v>
      </c>
      <c r="M469" s="35">
        <f t="shared" si="192"/>
        <v>100</v>
      </c>
    </row>
    <row r="470" spans="1:13" ht="38.25">
      <c r="A470" s="59" t="s">
        <v>268</v>
      </c>
      <c r="B470" s="28" t="s">
        <v>229</v>
      </c>
      <c r="C470" s="28" t="s">
        <v>32</v>
      </c>
      <c r="D470" s="28" t="s">
        <v>150</v>
      </c>
      <c r="E470" s="28" t="s">
        <v>269</v>
      </c>
      <c r="F470" s="58" t="s">
        <v>0</v>
      </c>
      <c r="G470" s="35">
        <f>G471+G474+G477</f>
        <v>41275.800000000003</v>
      </c>
      <c r="H470" s="35">
        <f t="shared" ref="H470:K470" si="215">H471+H474+H477</f>
        <v>41275.800000000003</v>
      </c>
      <c r="I470" s="35">
        <f t="shared" si="215"/>
        <v>21945.599999999999</v>
      </c>
      <c r="J470" s="35">
        <f t="shared" si="215"/>
        <v>21945.599999999999</v>
      </c>
      <c r="K470" s="35">
        <f t="shared" si="215"/>
        <v>21945.599999999999</v>
      </c>
      <c r="L470" s="35">
        <f t="shared" si="191"/>
        <v>53.168200252932706</v>
      </c>
      <c r="M470" s="35">
        <f t="shared" si="192"/>
        <v>100</v>
      </c>
    </row>
    <row r="471" spans="1:13" ht="25.5">
      <c r="A471" s="59" t="s">
        <v>76</v>
      </c>
      <c r="B471" s="28" t="s">
        <v>229</v>
      </c>
      <c r="C471" s="28" t="s">
        <v>32</v>
      </c>
      <c r="D471" s="28" t="s">
        <v>150</v>
      </c>
      <c r="E471" s="28" t="s">
        <v>270</v>
      </c>
      <c r="F471" s="58" t="s">
        <v>0</v>
      </c>
      <c r="G471" s="35">
        <f>G472</f>
        <v>28825.8</v>
      </c>
      <c r="H471" s="35">
        <f t="shared" ref="H471:K472" si="216">H472</f>
        <v>28825.8</v>
      </c>
      <c r="I471" s="35">
        <f t="shared" si="216"/>
        <v>21945.599999999999</v>
      </c>
      <c r="J471" s="35">
        <f t="shared" si="216"/>
        <v>21945.599999999999</v>
      </c>
      <c r="K471" s="35">
        <f t="shared" si="216"/>
        <v>21945.599999999999</v>
      </c>
      <c r="L471" s="35">
        <f t="shared" si="191"/>
        <v>76.131798597090111</v>
      </c>
      <c r="M471" s="35">
        <f t="shared" si="192"/>
        <v>100</v>
      </c>
    </row>
    <row r="472" spans="1:13" ht="25.5">
      <c r="A472" s="59" t="s">
        <v>80</v>
      </c>
      <c r="B472" s="28" t="s">
        <v>229</v>
      </c>
      <c r="C472" s="28" t="s">
        <v>32</v>
      </c>
      <c r="D472" s="28" t="s">
        <v>150</v>
      </c>
      <c r="E472" s="28" t="s">
        <v>270</v>
      </c>
      <c r="F472" s="28" t="s">
        <v>81</v>
      </c>
      <c r="G472" s="35">
        <f>G473</f>
        <v>28825.8</v>
      </c>
      <c r="H472" s="35">
        <f t="shared" si="216"/>
        <v>28825.8</v>
      </c>
      <c r="I472" s="35">
        <f t="shared" si="216"/>
        <v>21945.599999999999</v>
      </c>
      <c r="J472" s="35">
        <f t="shared" si="216"/>
        <v>21945.599999999999</v>
      </c>
      <c r="K472" s="35">
        <f t="shared" si="216"/>
        <v>21945.599999999999</v>
      </c>
      <c r="L472" s="35">
        <f t="shared" si="191"/>
        <v>76.131798597090111</v>
      </c>
      <c r="M472" s="35">
        <f t="shared" si="192"/>
        <v>100</v>
      </c>
    </row>
    <row r="473" spans="1:13">
      <c r="A473" s="59" t="s">
        <v>271</v>
      </c>
      <c r="B473" s="28" t="s">
        <v>229</v>
      </c>
      <c r="C473" s="28" t="s">
        <v>32</v>
      </c>
      <c r="D473" s="28" t="s">
        <v>150</v>
      </c>
      <c r="E473" s="28" t="s">
        <v>270</v>
      </c>
      <c r="F473" s="28" t="s">
        <v>272</v>
      </c>
      <c r="G473" s="35">
        <v>28825.8</v>
      </c>
      <c r="H473" s="35">
        <v>28825.8</v>
      </c>
      <c r="I473" s="35">
        <v>21945.599999999999</v>
      </c>
      <c r="J473" s="35">
        <v>21945.599999999999</v>
      </c>
      <c r="K473" s="35">
        <v>21945.599999999999</v>
      </c>
      <c r="L473" s="35">
        <f t="shared" si="191"/>
        <v>76.131798597090111</v>
      </c>
      <c r="M473" s="35">
        <f t="shared" si="192"/>
        <v>100</v>
      </c>
    </row>
    <row r="474" spans="1:13" ht="25.5">
      <c r="A474" s="59" t="s">
        <v>273</v>
      </c>
      <c r="B474" s="28" t="s">
        <v>229</v>
      </c>
      <c r="C474" s="28" t="s">
        <v>32</v>
      </c>
      <c r="D474" s="28" t="s">
        <v>150</v>
      </c>
      <c r="E474" s="28" t="s">
        <v>274</v>
      </c>
      <c r="F474" s="58" t="s">
        <v>0</v>
      </c>
      <c r="G474" s="35">
        <f>G475</f>
        <v>450</v>
      </c>
      <c r="H474" s="35">
        <f t="shared" ref="H474:K475" si="217">H475</f>
        <v>450</v>
      </c>
      <c r="I474" s="35">
        <f t="shared" si="217"/>
        <v>0</v>
      </c>
      <c r="J474" s="35">
        <f t="shared" si="217"/>
        <v>0</v>
      </c>
      <c r="K474" s="35">
        <f t="shared" si="217"/>
        <v>0</v>
      </c>
      <c r="L474" s="35">
        <f t="shared" si="191"/>
        <v>0</v>
      </c>
      <c r="M474" s="35">
        <v>0</v>
      </c>
    </row>
    <row r="475" spans="1:13" ht="25.5">
      <c r="A475" s="59" t="s">
        <v>80</v>
      </c>
      <c r="B475" s="28" t="s">
        <v>229</v>
      </c>
      <c r="C475" s="28" t="s">
        <v>32</v>
      </c>
      <c r="D475" s="28" t="s">
        <v>150</v>
      </c>
      <c r="E475" s="28" t="s">
        <v>274</v>
      </c>
      <c r="F475" s="28" t="s">
        <v>81</v>
      </c>
      <c r="G475" s="35">
        <f>G476</f>
        <v>450</v>
      </c>
      <c r="H475" s="35">
        <f t="shared" si="217"/>
        <v>450</v>
      </c>
      <c r="I475" s="35">
        <f t="shared" si="217"/>
        <v>0</v>
      </c>
      <c r="J475" s="35">
        <f t="shared" si="217"/>
        <v>0</v>
      </c>
      <c r="K475" s="35">
        <f t="shared" si="217"/>
        <v>0</v>
      </c>
      <c r="L475" s="35">
        <f t="shared" si="191"/>
        <v>0</v>
      </c>
      <c r="M475" s="35">
        <v>0</v>
      </c>
    </row>
    <row r="476" spans="1:13">
      <c r="A476" s="59" t="s">
        <v>271</v>
      </c>
      <c r="B476" s="28" t="s">
        <v>229</v>
      </c>
      <c r="C476" s="28" t="s">
        <v>32</v>
      </c>
      <c r="D476" s="28" t="s">
        <v>150</v>
      </c>
      <c r="E476" s="28" t="s">
        <v>274</v>
      </c>
      <c r="F476" s="28" t="s">
        <v>272</v>
      </c>
      <c r="G476" s="35">
        <v>450</v>
      </c>
      <c r="H476" s="35">
        <v>450</v>
      </c>
      <c r="I476" s="35">
        <v>0</v>
      </c>
      <c r="J476" s="35">
        <v>0</v>
      </c>
      <c r="K476" s="35">
        <v>0</v>
      </c>
      <c r="L476" s="35">
        <f t="shared" si="191"/>
        <v>0</v>
      </c>
      <c r="M476" s="35">
        <v>0</v>
      </c>
    </row>
    <row r="477" spans="1:13" ht="25.5">
      <c r="A477" s="59" t="s">
        <v>266</v>
      </c>
      <c r="B477" s="28" t="s">
        <v>229</v>
      </c>
      <c r="C477" s="28" t="s">
        <v>32</v>
      </c>
      <c r="D477" s="28" t="s">
        <v>150</v>
      </c>
      <c r="E477" s="28" t="s">
        <v>275</v>
      </c>
      <c r="F477" s="58" t="s">
        <v>0</v>
      </c>
      <c r="G477" s="35">
        <f>G478</f>
        <v>12000</v>
      </c>
      <c r="H477" s="35">
        <f t="shared" ref="H477:K478" si="218">H478</f>
        <v>12000</v>
      </c>
      <c r="I477" s="35">
        <f t="shared" si="218"/>
        <v>0</v>
      </c>
      <c r="J477" s="35">
        <f t="shared" si="218"/>
        <v>0</v>
      </c>
      <c r="K477" s="35">
        <f t="shared" si="218"/>
        <v>0</v>
      </c>
      <c r="L477" s="35">
        <f t="shared" si="191"/>
        <v>0</v>
      </c>
      <c r="M477" s="35">
        <v>0</v>
      </c>
    </row>
    <row r="478" spans="1:13" ht="25.5">
      <c r="A478" s="59" t="s">
        <v>64</v>
      </c>
      <c r="B478" s="28" t="s">
        <v>229</v>
      </c>
      <c r="C478" s="28" t="s">
        <v>32</v>
      </c>
      <c r="D478" s="28" t="s">
        <v>150</v>
      </c>
      <c r="E478" s="28" t="s">
        <v>275</v>
      </c>
      <c r="F478" s="28" t="s">
        <v>65</v>
      </c>
      <c r="G478" s="35">
        <f>G479</f>
        <v>12000</v>
      </c>
      <c r="H478" s="35">
        <f t="shared" si="218"/>
        <v>12000</v>
      </c>
      <c r="I478" s="35">
        <f t="shared" si="218"/>
        <v>0</v>
      </c>
      <c r="J478" s="35">
        <f t="shared" si="218"/>
        <v>0</v>
      </c>
      <c r="K478" s="35">
        <f t="shared" si="218"/>
        <v>0</v>
      </c>
      <c r="L478" s="35">
        <f t="shared" si="191"/>
        <v>0</v>
      </c>
      <c r="M478" s="35">
        <v>0</v>
      </c>
    </row>
    <row r="479" spans="1:13" ht="25.5">
      <c r="A479" s="59" t="s">
        <v>66</v>
      </c>
      <c r="B479" s="28" t="s">
        <v>229</v>
      </c>
      <c r="C479" s="28" t="s">
        <v>32</v>
      </c>
      <c r="D479" s="28" t="s">
        <v>150</v>
      </c>
      <c r="E479" s="28" t="s">
        <v>275</v>
      </c>
      <c r="F479" s="28" t="s">
        <v>67</v>
      </c>
      <c r="G479" s="35">
        <v>12000</v>
      </c>
      <c r="H479" s="35">
        <v>12000</v>
      </c>
      <c r="I479" s="35">
        <v>0</v>
      </c>
      <c r="J479" s="35">
        <v>0</v>
      </c>
      <c r="K479" s="35">
        <v>0</v>
      </c>
      <c r="L479" s="35">
        <f t="shared" si="191"/>
        <v>0</v>
      </c>
      <c r="M479" s="35">
        <v>0</v>
      </c>
    </row>
    <row r="480" spans="1:13" ht="25.5">
      <c r="A480" s="59" t="s">
        <v>276</v>
      </c>
      <c r="B480" s="28" t="s">
        <v>229</v>
      </c>
      <c r="C480" s="28" t="s">
        <v>32</v>
      </c>
      <c r="D480" s="28" t="s">
        <v>150</v>
      </c>
      <c r="E480" s="28" t="s">
        <v>277</v>
      </c>
      <c r="F480" s="58" t="s">
        <v>0</v>
      </c>
      <c r="G480" s="35">
        <f>G481++G484</f>
        <v>21134.400000000001</v>
      </c>
      <c r="H480" s="35">
        <f t="shared" ref="H480:K480" si="219">H481++H484</f>
        <v>21134.400000000001</v>
      </c>
      <c r="I480" s="35">
        <f t="shared" si="219"/>
        <v>13755.951859999999</v>
      </c>
      <c r="J480" s="35">
        <f t="shared" si="219"/>
        <v>13755.951859999999</v>
      </c>
      <c r="K480" s="35">
        <f t="shared" si="219"/>
        <v>13755.951859999999</v>
      </c>
      <c r="L480" s="35">
        <f t="shared" si="191"/>
        <v>65.087969660837302</v>
      </c>
      <c r="M480" s="35">
        <f t="shared" si="192"/>
        <v>100</v>
      </c>
    </row>
    <row r="481" spans="1:13" ht="102">
      <c r="A481" s="59" t="s">
        <v>278</v>
      </c>
      <c r="B481" s="28" t="s">
        <v>229</v>
      </c>
      <c r="C481" s="28" t="s">
        <v>32</v>
      </c>
      <c r="D481" s="28" t="s">
        <v>150</v>
      </c>
      <c r="E481" s="28" t="s">
        <v>279</v>
      </c>
      <c r="F481" s="58" t="s">
        <v>0</v>
      </c>
      <c r="G481" s="35">
        <f>G482</f>
        <v>80.3</v>
      </c>
      <c r="H481" s="35">
        <f t="shared" ref="H481:K482" si="220">H482</f>
        <v>80.3</v>
      </c>
      <c r="I481" s="35">
        <f t="shared" si="220"/>
        <v>0</v>
      </c>
      <c r="J481" s="35">
        <f t="shared" si="220"/>
        <v>0</v>
      </c>
      <c r="K481" s="35">
        <f t="shared" si="220"/>
        <v>0</v>
      </c>
      <c r="L481" s="35">
        <f t="shared" si="191"/>
        <v>0</v>
      </c>
      <c r="M481" s="35">
        <v>0</v>
      </c>
    </row>
    <row r="482" spans="1:13" ht="25.5">
      <c r="A482" s="59" t="s">
        <v>64</v>
      </c>
      <c r="B482" s="28" t="s">
        <v>229</v>
      </c>
      <c r="C482" s="28" t="s">
        <v>32</v>
      </c>
      <c r="D482" s="28" t="s">
        <v>150</v>
      </c>
      <c r="E482" s="28" t="s">
        <v>279</v>
      </c>
      <c r="F482" s="28" t="s">
        <v>65</v>
      </c>
      <c r="G482" s="35">
        <f>G483</f>
        <v>80.3</v>
      </c>
      <c r="H482" s="35">
        <f t="shared" si="220"/>
        <v>80.3</v>
      </c>
      <c r="I482" s="35">
        <f t="shared" si="220"/>
        <v>0</v>
      </c>
      <c r="J482" s="35">
        <f t="shared" si="220"/>
        <v>0</v>
      </c>
      <c r="K482" s="35">
        <f t="shared" si="220"/>
        <v>0</v>
      </c>
      <c r="L482" s="35">
        <f t="shared" si="191"/>
        <v>0</v>
      </c>
      <c r="M482" s="35">
        <v>0</v>
      </c>
    </row>
    <row r="483" spans="1:13" ht="25.5">
      <c r="A483" s="59" t="s">
        <v>66</v>
      </c>
      <c r="B483" s="28" t="s">
        <v>229</v>
      </c>
      <c r="C483" s="28" t="s">
        <v>32</v>
      </c>
      <c r="D483" s="28" t="s">
        <v>150</v>
      </c>
      <c r="E483" s="28" t="s">
        <v>279</v>
      </c>
      <c r="F483" s="28" t="s">
        <v>67</v>
      </c>
      <c r="G483" s="35">
        <v>80.3</v>
      </c>
      <c r="H483" s="35">
        <v>80.3</v>
      </c>
      <c r="I483" s="35">
        <v>0</v>
      </c>
      <c r="J483" s="35">
        <v>0</v>
      </c>
      <c r="K483" s="35">
        <v>0</v>
      </c>
      <c r="L483" s="35">
        <f t="shared" ref="L483:L546" si="221">K483/H483*100</f>
        <v>0</v>
      </c>
      <c r="M483" s="35">
        <v>0</v>
      </c>
    </row>
    <row r="484" spans="1:13" ht="114.75">
      <c r="A484" s="59" t="s">
        <v>280</v>
      </c>
      <c r="B484" s="28" t="s">
        <v>229</v>
      </c>
      <c r="C484" s="28" t="s">
        <v>32</v>
      </c>
      <c r="D484" s="28" t="s">
        <v>150</v>
      </c>
      <c r="E484" s="28" t="s">
        <v>281</v>
      </c>
      <c r="F484" s="58" t="s">
        <v>0</v>
      </c>
      <c r="G484" s="35">
        <f>G485+G487+G489</f>
        <v>21054.100000000002</v>
      </c>
      <c r="H484" s="35">
        <f t="shared" ref="H484:K484" si="222">H485+H487+H489</f>
        <v>21054.100000000002</v>
      </c>
      <c r="I484" s="35">
        <f t="shared" si="222"/>
        <v>13755.951859999999</v>
      </c>
      <c r="J484" s="35">
        <f t="shared" si="222"/>
        <v>13755.951859999999</v>
      </c>
      <c r="K484" s="35">
        <f t="shared" si="222"/>
        <v>13755.951859999999</v>
      </c>
      <c r="L484" s="35">
        <f t="shared" si="221"/>
        <v>65.336214134064136</v>
      </c>
      <c r="M484" s="35">
        <f t="shared" ref="M484:M545" si="223">K484/I484*100</f>
        <v>100</v>
      </c>
    </row>
    <row r="485" spans="1:13" ht="63.75">
      <c r="A485" s="59" t="s">
        <v>60</v>
      </c>
      <c r="B485" s="28" t="s">
        <v>229</v>
      </c>
      <c r="C485" s="28" t="s">
        <v>32</v>
      </c>
      <c r="D485" s="28" t="s">
        <v>150</v>
      </c>
      <c r="E485" s="28" t="s">
        <v>281</v>
      </c>
      <c r="F485" s="28" t="s">
        <v>61</v>
      </c>
      <c r="G485" s="35">
        <f>G486</f>
        <v>17386.3</v>
      </c>
      <c r="H485" s="35">
        <f t="shared" ref="H485:K485" si="224">H486</f>
        <v>17386.3</v>
      </c>
      <c r="I485" s="35">
        <f t="shared" si="224"/>
        <v>11841.81799</v>
      </c>
      <c r="J485" s="35">
        <f t="shared" si="224"/>
        <v>11841.81799</v>
      </c>
      <c r="K485" s="35">
        <f t="shared" si="224"/>
        <v>11841.81799</v>
      </c>
      <c r="L485" s="35">
        <f t="shared" si="221"/>
        <v>68.110052109994655</v>
      </c>
      <c r="M485" s="35">
        <f t="shared" si="223"/>
        <v>100</v>
      </c>
    </row>
    <row r="486" spans="1:13" ht="25.5">
      <c r="A486" s="59" t="s">
        <v>62</v>
      </c>
      <c r="B486" s="28" t="s">
        <v>229</v>
      </c>
      <c r="C486" s="28" t="s">
        <v>32</v>
      </c>
      <c r="D486" s="28" t="s">
        <v>150</v>
      </c>
      <c r="E486" s="28" t="s">
        <v>281</v>
      </c>
      <c r="F486" s="28" t="s">
        <v>63</v>
      </c>
      <c r="G486" s="35">
        <v>17386.3</v>
      </c>
      <c r="H486" s="35">
        <f>12826.1+689+3871.2</f>
        <v>17386.3</v>
      </c>
      <c r="I486" s="35">
        <f>8722.88706+254.02318+2864.90775</f>
        <v>11841.81799</v>
      </c>
      <c r="J486" s="35">
        <f>8722.88706+254.02318+2864.90775</f>
        <v>11841.81799</v>
      </c>
      <c r="K486" s="35">
        <f>8722.88706+254.02318+2864.90775</f>
        <v>11841.81799</v>
      </c>
      <c r="L486" s="35">
        <f t="shared" si="221"/>
        <v>68.110052109994655</v>
      </c>
      <c r="M486" s="35">
        <f t="shared" si="223"/>
        <v>100</v>
      </c>
    </row>
    <row r="487" spans="1:13" ht="25.5">
      <c r="A487" s="59" t="s">
        <v>64</v>
      </c>
      <c r="B487" s="28" t="s">
        <v>229</v>
      </c>
      <c r="C487" s="28" t="s">
        <v>32</v>
      </c>
      <c r="D487" s="28" t="s">
        <v>150</v>
      </c>
      <c r="E487" s="28" t="s">
        <v>281</v>
      </c>
      <c r="F487" s="28" t="s">
        <v>65</v>
      </c>
      <c r="G487" s="35">
        <f>G488</f>
        <v>3599.9</v>
      </c>
      <c r="H487" s="35">
        <f t="shared" ref="H487:K487" si="225">H488</f>
        <v>3599.9</v>
      </c>
      <c r="I487" s="35">
        <f t="shared" si="225"/>
        <v>1876.1115299999999</v>
      </c>
      <c r="J487" s="35">
        <f t="shared" si="225"/>
        <v>1876.1115299999999</v>
      </c>
      <c r="K487" s="35">
        <f t="shared" si="225"/>
        <v>1876.1115299999999</v>
      </c>
      <c r="L487" s="35">
        <f t="shared" si="221"/>
        <v>52.115656823800663</v>
      </c>
      <c r="M487" s="35">
        <f t="shared" si="223"/>
        <v>100</v>
      </c>
    </row>
    <row r="488" spans="1:13" ht="25.5">
      <c r="A488" s="59" t="s">
        <v>66</v>
      </c>
      <c r="B488" s="28" t="s">
        <v>229</v>
      </c>
      <c r="C488" s="28" t="s">
        <v>32</v>
      </c>
      <c r="D488" s="28" t="s">
        <v>150</v>
      </c>
      <c r="E488" s="28" t="s">
        <v>281</v>
      </c>
      <c r="F488" s="28" t="s">
        <v>67</v>
      </c>
      <c r="G488" s="35">
        <v>3599.9</v>
      </c>
      <c r="H488" s="35">
        <v>3599.9</v>
      </c>
      <c r="I488" s="35">
        <v>1876.1115299999999</v>
      </c>
      <c r="J488" s="35">
        <v>1876.1115299999999</v>
      </c>
      <c r="K488" s="35">
        <v>1876.1115299999999</v>
      </c>
      <c r="L488" s="35">
        <f t="shared" si="221"/>
        <v>52.115656823800663</v>
      </c>
      <c r="M488" s="35">
        <f t="shared" si="223"/>
        <v>100</v>
      </c>
    </row>
    <row r="489" spans="1:13">
      <c r="A489" s="59" t="s">
        <v>72</v>
      </c>
      <c r="B489" s="28" t="s">
        <v>229</v>
      </c>
      <c r="C489" s="28" t="s">
        <v>32</v>
      </c>
      <c r="D489" s="28" t="s">
        <v>150</v>
      </c>
      <c r="E489" s="28" t="s">
        <v>281</v>
      </c>
      <c r="F489" s="28" t="s">
        <v>73</v>
      </c>
      <c r="G489" s="35">
        <f>G490</f>
        <v>67.900000000000006</v>
      </c>
      <c r="H489" s="35">
        <f>H490</f>
        <v>67.900000000000006</v>
      </c>
      <c r="I489" s="35">
        <f t="shared" ref="I489:K489" si="226">I490</f>
        <v>38.02234</v>
      </c>
      <c r="J489" s="35">
        <f t="shared" si="226"/>
        <v>38.02234</v>
      </c>
      <c r="K489" s="35">
        <f t="shared" si="226"/>
        <v>38.02234</v>
      </c>
      <c r="L489" s="35">
        <f t="shared" si="221"/>
        <v>55.997555228276873</v>
      </c>
      <c r="M489" s="35">
        <f t="shared" si="223"/>
        <v>100</v>
      </c>
    </row>
    <row r="490" spans="1:13">
      <c r="A490" s="59" t="s">
        <v>74</v>
      </c>
      <c r="B490" s="28" t="s">
        <v>229</v>
      </c>
      <c r="C490" s="28" t="s">
        <v>32</v>
      </c>
      <c r="D490" s="28" t="s">
        <v>150</v>
      </c>
      <c r="E490" s="28" t="s">
        <v>281</v>
      </c>
      <c r="F490" s="28" t="s">
        <v>75</v>
      </c>
      <c r="G490" s="35">
        <v>67.900000000000006</v>
      </c>
      <c r="H490" s="35">
        <f>37.9+30</f>
        <v>67.900000000000006</v>
      </c>
      <c r="I490" s="35">
        <f>20.336+17.68634</f>
        <v>38.02234</v>
      </c>
      <c r="J490" s="35">
        <f>20.336+17.68634</f>
        <v>38.02234</v>
      </c>
      <c r="K490" s="35">
        <f>20.336+17.68634</f>
        <v>38.02234</v>
      </c>
      <c r="L490" s="35">
        <f t="shared" si="221"/>
        <v>55.997555228276873</v>
      </c>
      <c r="M490" s="35">
        <f t="shared" si="223"/>
        <v>100</v>
      </c>
    </row>
    <row r="491" spans="1:13">
      <c r="A491" s="62" t="s">
        <v>612</v>
      </c>
      <c r="B491" s="28" t="s">
        <v>229</v>
      </c>
      <c r="C491" s="28" t="s">
        <v>32</v>
      </c>
      <c r="D491" s="28" t="s">
        <v>150</v>
      </c>
      <c r="E491" s="29" t="s">
        <v>613</v>
      </c>
      <c r="F491" s="28"/>
      <c r="G491" s="35"/>
      <c r="H491" s="35">
        <f>H492</f>
        <v>2150</v>
      </c>
      <c r="I491" s="35">
        <f t="shared" ref="I491:K493" si="227">I492</f>
        <v>2150</v>
      </c>
      <c r="J491" s="35">
        <f t="shared" si="227"/>
        <v>2150</v>
      </c>
      <c r="K491" s="35">
        <f t="shared" si="227"/>
        <v>1792</v>
      </c>
      <c r="L491" s="35">
        <f t="shared" si="221"/>
        <v>83.348837209302332</v>
      </c>
      <c r="M491" s="35">
        <f t="shared" si="223"/>
        <v>83.348837209302332</v>
      </c>
    </row>
    <row r="492" spans="1:13">
      <c r="A492" s="59" t="s">
        <v>612</v>
      </c>
      <c r="B492" s="28" t="s">
        <v>229</v>
      </c>
      <c r="C492" s="28" t="s">
        <v>32</v>
      </c>
      <c r="D492" s="28" t="s">
        <v>150</v>
      </c>
      <c r="E492" s="29" t="s">
        <v>614</v>
      </c>
      <c r="F492" s="28"/>
      <c r="G492" s="35"/>
      <c r="H492" s="35">
        <f>H493</f>
        <v>2150</v>
      </c>
      <c r="I492" s="35">
        <f t="shared" si="227"/>
        <v>2150</v>
      </c>
      <c r="J492" s="35">
        <f t="shared" si="227"/>
        <v>2150</v>
      </c>
      <c r="K492" s="35">
        <f t="shared" si="227"/>
        <v>1792</v>
      </c>
      <c r="L492" s="35">
        <f t="shared" si="221"/>
        <v>83.348837209302332</v>
      </c>
      <c r="M492" s="35">
        <f t="shared" si="223"/>
        <v>83.348837209302332</v>
      </c>
    </row>
    <row r="493" spans="1:13">
      <c r="A493" s="59" t="s">
        <v>68</v>
      </c>
      <c r="B493" s="28" t="s">
        <v>229</v>
      </c>
      <c r="C493" s="28" t="s">
        <v>32</v>
      </c>
      <c r="D493" s="28" t="s">
        <v>150</v>
      </c>
      <c r="E493" s="29" t="s">
        <v>614</v>
      </c>
      <c r="F493" s="28">
        <v>300</v>
      </c>
      <c r="G493" s="35"/>
      <c r="H493" s="35">
        <f>H494</f>
        <v>2150</v>
      </c>
      <c r="I493" s="35">
        <f t="shared" si="227"/>
        <v>2150</v>
      </c>
      <c r="J493" s="35">
        <f t="shared" si="227"/>
        <v>2150</v>
      </c>
      <c r="K493" s="35">
        <f t="shared" si="227"/>
        <v>1792</v>
      </c>
      <c r="L493" s="35">
        <f t="shared" si="221"/>
        <v>83.348837209302332</v>
      </c>
      <c r="M493" s="35">
        <f t="shared" si="223"/>
        <v>83.348837209302332</v>
      </c>
    </row>
    <row r="494" spans="1:13">
      <c r="A494" s="62" t="s">
        <v>70</v>
      </c>
      <c r="B494" s="28" t="s">
        <v>229</v>
      </c>
      <c r="C494" s="28" t="s">
        <v>32</v>
      </c>
      <c r="D494" s="28" t="s">
        <v>150</v>
      </c>
      <c r="E494" s="29" t="s">
        <v>614</v>
      </c>
      <c r="F494" s="28">
        <v>360</v>
      </c>
      <c r="G494" s="35"/>
      <c r="H494" s="35">
        <v>2150</v>
      </c>
      <c r="I494" s="35">
        <v>2150</v>
      </c>
      <c r="J494" s="35">
        <v>2150</v>
      </c>
      <c r="K494" s="35">
        <v>1792</v>
      </c>
      <c r="L494" s="35">
        <f t="shared" si="221"/>
        <v>83.348837209302332</v>
      </c>
      <c r="M494" s="35">
        <f t="shared" si="223"/>
        <v>83.348837209302332</v>
      </c>
    </row>
    <row r="495" spans="1:13">
      <c r="A495" s="64" t="s">
        <v>0</v>
      </c>
      <c r="B495" s="65" t="s">
        <v>0</v>
      </c>
      <c r="C495" s="58" t="s">
        <v>0</v>
      </c>
      <c r="D495" s="58" t="s">
        <v>0</v>
      </c>
      <c r="E495" s="58" t="s">
        <v>0</v>
      </c>
      <c r="F495" s="58" t="s">
        <v>0</v>
      </c>
      <c r="G495" s="66" t="s">
        <v>0</v>
      </c>
      <c r="H495" s="66" t="s">
        <v>0</v>
      </c>
      <c r="I495" s="66" t="s">
        <v>0</v>
      </c>
      <c r="J495" s="66" t="s">
        <v>0</v>
      </c>
      <c r="K495" s="66" t="s">
        <v>0</v>
      </c>
      <c r="L495" s="35"/>
      <c r="M495" s="35"/>
    </row>
    <row r="496" spans="1:13" ht="25.5">
      <c r="A496" s="56" t="s">
        <v>282</v>
      </c>
      <c r="B496" s="57" t="s">
        <v>283</v>
      </c>
      <c r="C496" s="58" t="s">
        <v>0</v>
      </c>
      <c r="D496" s="58" t="s">
        <v>0</v>
      </c>
      <c r="E496" s="58" t="s">
        <v>0</v>
      </c>
      <c r="F496" s="58" t="s">
        <v>0</v>
      </c>
      <c r="G496" s="30">
        <f>G497+G519</f>
        <v>12150438.899999999</v>
      </c>
      <c r="H496" s="30">
        <f t="shared" ref="H496:K496" si="228">H497+H519</f>
        <v>12567656.603250001</v>
      </c>
      <c r="I496" s="30">
        <f t="shared" si="228"/>
        <v>9251271.2850599997</v>
      </c>
      <c r="J496" s="30">
        <f t="shared" si="228"/>
        <v>9251271.2850599997</v>
      </c>
      <c r="K496" s="30">
        <f t="shared" si="228"/>
        <v>9240179.350850001</v>
      </c>
      <c r="L496" s="30">
        <f t="shared" si="221"/>
        <v>73.523486856415914</v>
      </c>
      <c r="M496" s="30">
        <f t="shared" si="223"/>
        <v>99.880103675827655</v>
      </c>
    </row>
    <row r="497" spans="1:13">
      <c r="A497" s="59" t="s">
        <v>109</v>
      </c>
      <c r="B497" s="28" t="s">
        <v>283</v>
      </c>
      <c r="C497" s="28" t="s">
        <v>110</v>
      </c>
      <c r="D497" s="58" t="s">
        <v>0</v>
      </c>
      <c r="E497" s="58" t="s">
        <v>0</v>
      </c>
      <c r="F497" s="58" t="s">
        <v>0</v>
      </c>
      <c r="G497" s="35">
        <f>G498+G508</f>
        <v>82129.2</v>
      </c>
      <c r="H497" s="35">
        <f t="shared" ref="H497:K497" si="229">H498+H508</f>
        <v>82129.2</v>
      </c>
      <c r="I497" s="35">
        <f t="shared" si="229"/>
        <v>61638.2</v>
      </c>
      <c r="J497" s="35">
        <f t="shared" si="229"/>
        <v>61638.2</v>
      </c>
      <c r="K497" s="35">
        <f t="shared" si="229"/>
        <v>61638.2</v>
      </c>
      <c r="L497" s="35">
        <f t="shared" si="221"/>
        <v>75.050286621566997</v>
      </c>
      <c r="M497" s="35">
        <f t="shared" si="223"/>
        <v>100</v>
      </c>
    </row>
    <row r="498" spans="1:13">
      <c r="A498" s="59" t="s">
        <v>127</v>
      </c>
      <c r="B498" s="28" t="s">
        <v>283</v>
      </c>
      <c r="C498" s="28" t="s">
        <v>110</v>
      </c>
      <c r="D498" s="28" t="s">
        <v>19</v>
      </c>
      <c r="E498" s="58" t="s">
        <v>0</v>
      </c>
      <c r="F498" s="58" t="s">
        <v>0</v>
      </c>
      <c r="G498" s="35">
        <f>G499+G504</f>
        <v>77145</v>
      </c>
      <c r="H498" s="35">
        <f t="shared" ref="H498:K498" si="230">H499+H504</f>
        <v>77145</v>
      </c>
      <c r="I498" s="35">
        <f t="shared" si="230"/>
        <v>57879</v>
      </c>
      <c r="J498" s="35">
        <f t="shared" si="230"/>
        <v>57879</v>
      </c>
      <c r="K498" s="35">
        <f t="shared" si="230"/>
        <v>57879</v>
      </c>
      <c r="L498" s="35">
        <f t="shared" si="221"/>
        <v>75.026249270853583</v>
      </c>
      <c r="M498" s="35">
        <f t="shared" si="223"/>
        <v>100</v>
      </c>
    </row>
    <row r="499" spans="1:13" ht="38.25">
      <c r="A499" s="59" t="s">
        <v>136</v>
      </c>
      <c r="B499" s="28" t="s">
        <v>283</v>
      </c>
      <c r="C499" s="28" t="s">
        <v>110</v>
      </c>
      <c r="D499" s="28" t="s">
        <v>19</v>
      </c>
      <c r="E499" s="28" t="s">
        <v>137</v>
      </c>
      <c r="F499" s="58" t="s">
        <v>0</v>
      </c>
      <c r="G499" s="35">
        <f>G500</f>
        <v>77064</v>
      </c>
      <c r="H499" s="35">
        <f t="shared" ref="H499:K502" si="231">H500</f>
        <v>77064</v>
      </c>
      <c r="I499" s="35">
        <f t="shared" si="231"/>
        <v>57798</v>
      </c>
      <c r="J499" s="35">
        <f t="shared" si="231"/>
        <v>57798</v>
      </c>
      <c r="K499" s="35">
        <f t="shared" si="231"/>
        <v>57798</v>
      </c>
      <c r="L499" s="35">
        <f t="shared" si="221"/>
        <v>75</v>
      </c>
      <c r="M499" s="35">
        <f t="shared" si="223"/>
        <v>100</v>
      </c>
    </row>
    <row r="500" spans="1:13" ht="25.5">
      <c r="A500" s="59" t="s">
        <v>284</v>
      </c>
      <c r="B500" s="28" t="s">
        <v>283</v>
      </c>
      <c r="C500" s="28" t="s">
        <v>110</v>
      </c>
      <c r="D500" s="28" t="s">
        <v>19</v>
      </c>
      <c r="E500" s="28" t="s">
        <v>285</v>
      </c>
      <c r="F500" s="58" t="s">
        <v>0</v>
      </c>
      <c r="G500" s="35">
        <f>G501</f>
        <v>77064</v>
      </c>
      <c r="H500" s="35">
        <f t="shared" si="231"/>
        <v>77064</v>
      </c>
      <c r="I500" s="35">
        <f t="shared" si="231"/>
        <v>57798</v>
      </c>
      <c r="J500" s="35">
        <f t="shared" si="231"/>
        <v>57798</v>
      </c>
      <c r="K500" s="35">
        <f t="shared" si="231"/>
        <v>57798</v>
      </c>
      <c r="L500" s="35">
        <f t="shared" si="221"/>
        <v>75</v>
      </c>
      <c r="M500" s="35">
        <f t="shared" si="223"/>
        <v>100</v>
      </c>
    </row>
    <row r="501" spans="1:13" ht="25.5">
      <c r="A501" s="59" t="s">
        <v>76</v>
      </c>
      <c r="B501" s="28" t="s">
        <v>283</v>
      </c>
      <c r="C501" s="28" t="s">
        <v>110</v>
      </c>
      <c r="D501" s="28" t="s">
        <v>19</v>
      </c>
      <c r="E501" s="28" t="s">
        <v>286</v>
      </c>
      <c r="F501" s="58" t="s">
        <v>0</v>
      </c>
      <c r="G501" s="35">
        <f>G502</f>
        <v>77064</v>
      </c>
      <c r="H501" s="35">
        <f t="shared" si="231"/>
        <v>77064</v>
      </c>
      <c r="I501" s="35">
        <f t="shared" si="231"/>
        <v>57798</v>
      </c>
      <c r="J501" s="35">
        <f t="shared" si="231"/>
        <v>57798</v>
      </c>
      <c r="K501" s="35">
        <f t="shared" si="231"/>
        <v>57798</v>
      </c>
      <c r="L501" s="35">
        <f t="shared" si="221"/>
        <v>75</v>
      </c>
      <c r="M501" s="35">
        <f t="shared" si="223"/>
        <v>100</v>
      </c>
    </row>
    <row r="502" spans="1:13" ht="25.5">
      <c r="A502" s="59" t="s">
        <v>80</v>
      </c>
      <c r="B502" s="28" t="s">
        <v>283</v>
      </c>
      <c r="C502" s="28" t="s">
        <v>110</v>
      </c>
      <c r="D502" s="28" t="s">
        <v>19</v>
      </c>
      <c r="E502" s="28" t="s">
        <v>286</v>
      </c>
      <c r="F502" s="28" t="s">
        <v>81</v>
      </c>
      <c r="G502" s="35">
        <f>G503</f>
        <v>77064</v>
      </c>
      <c r="H502" s="35">
        <f t="shared" si="231"/>
        <v>77064</v>
      </c>
      <c r="I502" s="35">
        <f t="shared" si="231"/>
        <v>57798</v>
      </c>
      <c r="J502" s="35">
        <f t="shared" si="231"/>
        <v>57798</v>
      </c>
      <c r="K502" s="35">
        <f t="shared" si="231"/>
        <v>57798</v>
      </c>
      <c r="L502" s="35">
        <f t="shared" si="221"/>
        <v>75</v>
      </c>
      <c r="M502" s="35">
        <f t="shared" si="223"/>
        <v>100</v>
      </c>
    </row>
    <row r="503" spans="1:13">
      <c r="A503" s="59" t="s">
        <v>82</v>
      </c>
      <c r="B503" s="28" t="s">
        <v>283</v>
      </c>
      <c r="C503" s="28" t="s">
        <v>110</v>
      </c>
      <c r="D503" s="28" t="s">
        <v>19</v>
      </c>
      <c r="E503" s="28" t="s">
        <v>286</v>
      </c>
      <c r="F503" s="28" t="s">
        <v>83</v>
      </c>
      <c r="G503" s="35">
        <v>77064</v>
      </c>
      <c r="H503" s="35">
        <v>77064</v>
      </c>
      <c r="I503" s="35">
        <v>57798</v>
      </c>
      <c r="J503" s="35">
        <v>57798</v>
      </c>
      <c r="K503" s="35">
        <v>57798</v>
      </c>
      <c r="L503" s="35">
        <f t="shared" si="221"/>
        <v>75</v>
      </c>
      <c r="M503" s="35">
        <f t="shared" si="223"/>
        <v>100</v>
      </c>
    </row>
    <row r="504" spans="1:13" ht="25.5">
      <c r="A504" s="59" t="s">
        <v>142</v>
      </c>
      <c r="B504" s="28" t="s">
        <v>283</v>
      </c>
      <c r="C504" s="28" t="s">
        <v>110</v>
      </c>
      <c r="D504" s="28" t="s">
        <v>19</v>
      </c>
      <c r="E504" s="28" t="s">
        <v>143</v>
      </c>
      <c r="F504" s="58" t="s">
        <v>0</v>
      </c>
      <c r="G504" s="35">
        <f>G505</f>
        <v>81</v>
      </c>
      <c r="H504" s="35">
        <f t="shared" ref="H504:K506" si="232">H505</f>
        <v>81</v>
      </c>
      <c r="I504" s="35">
        <f t="shared" si="232"/>
        <v>81</v>
      </c>
      <c r="J504" s="35">
        <f t="shared" si="232"/>
        <v>81</v>
      </c>
      <c r="K504" s="35">
        <f t="shared" si="232"/>
        <v>81</v>
      </c>
      <c r="L504" s="35">
        <f t="shared" si="221"/>
        <v>100</v>
      </c>
      <c r="M504" s="35">
        <f t="shared" si="223"/>
        <v>100</v>
      </c>
    </row>
    <row r="505" spans="1:13" ht="25.5">
      <c r="A505" s="59" t="s">
        <v>76</v>
      </c>
      <c r="B505" s="28" t="s">
        <v>283</v>
      </c>
      <c r="C505" s="28" t="s">
        <v>110</v>
      </c>
      <c r="D505" s="28" t="s">
        <v>19</v>
      </c>
      <c r="E505" s="28" t="s">
        <v>287</v>
      </c>
      <c r="F505" s="58" t="s">
        <v>0</v>
      </c>
      <c r="G505" s="35">
        <f>G506</f>
        <v>81</v>
      </c>
      <c r="H505" s="35">
        <f t="shared" si="232"/>
        <v>81</v>
      </c>
      <c r="I505" s="35">
        <f t="shared" si="232"/>
        <v>81</v>
      </c>
      <c r="J505" s="35">
        <f t="shared" si="232"/>
        <v>81</v>
      </c>
      <c r="K505" s="35">
        <f t="shared" si="232"/>
        <v>81</v>
      </c>
      <c r="L505" s="35">
        <f t="shared" si="221"/>
        <v>100</v>
      </c>
      <c r="M505" s="35">
        <f t="shared" si="223"/>
        <v>100</v>
      </c>
    </row>
    <row r="506" spans="1:13" ht="25.5">
      <c r="A506" s="59" t="s">
        <v>80</v>
      </c>
      <c r="B506" s="28" t="s">
        <v>283</v>
      </c>
      <c r="C506" s="28" t="s">
        <v>110</v>
      </c>
      <c r="D506" s="28" t="s">
        <v>19</v>
      </c>
      <c r="E506" s="28" t="s">
        <v>287</v>
      </c>
      <c r="F506" s="28" t="s">
        <v>81</v>
      </c>
      <c r="G506" s="35">
        <f>G507</f>
        <v>81</v>
      </c>
      <c r="H506" s="35">
        <f t="shared" si="232"/>
        <v>81</v>
      </c>
      <c r="I506" s="35">
        <f t="shared" si="232"/>
        <v>81</v>
      </c>
      <c r="J506" s="35">
        <f t="shared" si="232"/>
        <v>81</v>
      </c>
      <c r="K506" s="35">
        <f t="shared" si="232"/>
        <v>81</v>
      </c>
      <c r="L506" s="35">
        <f t="shared" si="221"/>
        <v>100</v>
      </c>
      <c r="M506" s="35">
        <f t="shared" si="223"/>
        <v>100</v>
      </c>
    </row>
    <row r="507" spans="1:13">
      <c r="A507" s="59" t="s">
        <v>82</v>
      </c>
      <c r="B507" s="28" t="s">
        <v>283</v>
      </c>
      <c r="C507" s="28" t="s">
        <v>110</v>
      </c>
      <c r="D507" s="28" t="s">
        <v>19</v>
      </c>
      <c r="E507" s="28" t="s">
        <v>287</v>
      </c>
      <c r="F507" s="28" t="s">
        <v>83</v>
      </c>
      <c r="G507" s="35">
        <v>81</v>
      </c>
      <c r="H507" s="35">
        <v>81</v>
      </c>
      <c r="I507" s="35">
        <v>81</v>
      </c>
      <c r="J507" s="35">
        <v>81</v>
      </c>
      <c r="K507" s="35">
        <v>81</v>
      </c>
      <c r="L507" s="35">
        <f t="shared" si="221"/>
        <v>100</v>
      </c>
      <c r="M507" s="35">
        <f t="shared" si="223"/>
        <v>100</v>
      </c>
    </row>
    <row r="508" spans="1:13" ht="25.5">
      <c r="A508" s="59" t="s">
        <v>288</v>
      </c>
      <c r="B508" s="28" t="s">
        <v>283</v>
      </c>
      <c r="C508" s="28" t="s">
        <v>110</v>
      </c>
      <c r="D508" s="28" t="s">
        <v>93</v>
      </c>
      <c r="E508" s="58" t="s">
        <v>0</v>
      </c>
      <c r="F508" s="58" t="s">
        <v>0</v>
      </c>
      <c r="G508" s="35">
        <f>G509+G514</f>
        <v>4984.2</v>
      </c>
      <c r="H508" s="35">
        <f t="shared" ref="H508:K508" si="233">H509+H514</f>
        <v>4984.2</v>
      </c>
      <c r="I508" s="35">
        <f t="shared" si="233"/>
        <v>3759.2</v>
      </c>
      <c r="J508" s="35">
        <f t="shared" si="233"/>
        <v>3759.2</v>
      </c>
      <c r="K508" s="35">
        <f t="shared" si="233"/>
        <v>3759.2</v>
      </c>
      <c r="L508" s="35">
        <f t="shared" si="221"/>
        <v>75.422334577264152</v>
      </c>
      <c r="M508" s="35">
        <f t="shared" si="223"/>
        <v>100</v>
      </c>
    </row>
    <row r="509" spans="1:13" ht="38.25">
      <c r="A509" s="59" t="s">
        <v>136</v>
      </c>
      <c r="B509" s="28" t="s">
        <v>283</v>
      </c>
      <c r="C509" s="28" t="s">
        <v>110</v>
      </c>
      <c r="D509" s="28" t="s">
        <v>93</v>
      </c>
      <c r="E509" s="28" t="s">
        <v>137</v>
      </c>
      <c r="F509" s="58" t="s">
        <v>0</v>
      </c>
      <c r="G509" s="35">
        <f>G510</f>
        <v>4900.2</v>
      </c>
      <c r="H509" s="35">
        <f t="shared" ref="H509:K512" si="234">H510</f>
        <v>4900.2</v>
      </c>
      <c r="I509" s="35">
        <f t="shared" si="234"/>
        <v>3675.2</v>
      </c>
      <c r="J509" s="35">
        <f t="shared" si="234"/>
        <v>3675.2</v>
      </c>
      <c r="K509" s="35">
        <f t="shared" si="234"/>
        <v>3675.2</v>
      </c>
      <c r="L509" s="35">
        <f t="shared" si="221"/>
        <v>75.001020366515647</v>
      </c>
      <c r="M509" s="35">
        <f t="shared" si="223"/>
        <v>100</v>
      </c>
    </row>
    <row r="510" spans="1:13" ht="25.5">
      <c r="A510" s="59" t="s">
        <v>284</v>
      </c>
      <c r="B510" s="28" t="s">
        <v>283</v>
      </c>
      <c r="C510" s="28" t="s">
        <v>110</v>
      </c>
      <c r="D510" s="28" t="s">
        <v>93</v>
      </c>
      <c r="E510" s="28" t="s">
        <v>285</v>
      </c>
      <c r="F510" s="58" t="s">
        <v>0</v>
      </c>
      <c r="G510" s="35">
        <f>G511</f>
        <v>4900.2</v>
      </c>
      <c r="H510" s="35">
        <f t="shared" si="234"/>
        <v>4900.2</v>
      </c>
      <c r="I510" s="35">
        <f t="shared" si="234"/>
        <v>3675.2</v>
      </c>
      <c r="J510" s="35">
        <f t="shared" si="234"/>
        <v>3675.2</v>
      </c>
      <c r="K510" s="35">
        <f t="shared" si="234"/>
        <v>3675.2</v>
      </c>
      <c r="L510" s="35">
        <f t="shared" si="221"/>
        <v>75.001020366515647</v>
      </c>
      <c r="M510" s="35">
        <f t="shared" si="223"/>
        <v>100</v>
      </c>
    </row>
    <row r="511" spans="1:13" ht="25.5">
      <c r="A511" s="59" t="s">
        <v>76</v>
      </c>
      <c r="B511" s="28" t="s">
        <v>283</v>
      </c>
      <c r="C511" s="28" t="s">
        <v>110</v>
      </c>
      <c r="D511" s="28" t="s">
        <v>93</v>
      </c>
      <c r="E511" s="28" t="s">
        <v>286</v>
      </c>
      <c r="F511" s="58" t="s">
        <v>0</v>
      </c>
      <c r="G511" s="35">
        <f>G512</f>
        <v>4900.2</v>
      </c>
      <c r="H511" s="35">
        <f t="shared" si="234"/>
        <v>4900.2</v>
      </c>
      <c r="I511" s="35">
        <f t="shared" si="234"/>
        <v>3675.2</v>
      </c>
      <c r="J511" s="35">
        <f t="shared" si="234"/>
        <v>3675.2</v>
      </c>
      <c r="K511" s="35">
        <f t="shared" si="234"/>
        <v>3675.2</v>
      </c>
      <c r="L511" s="35">
        <f t="shared" si="221"/>
        <v>75.001020366515647</v>
      </c>
      <c r="M511" s="35">
        <f t="shared" si="223"/>
        <v>100</v>
      </c>
    </row>
    <row r="512" spans="1:13" ht="25.5">
      <c r="A512" s="59" t="s">
        <v>80</v>
      </c>
      <c r="B512" s="28" t="s">
        <v>283</v>
      </c>
      <c r="C512" s="28" t="s">
        <v>110</v>
      </c>
      <c r="D512" s="28" t="s">
        <v>93</v>
      </c>
      <c r="E512" s="28" t="s">
        <v>286</v>
      </c>
      <c r="F512" s="28" t="s">
        <v>81</v>
      </c>
      <c r="G512" s="35">
        <f>G513</f>
        <v>4900.2</v>
      </c>
      <c r="H512" s="35">
        <f t="shared" si="234"/>
        <v>4900.2</v>
      </c>
      <c r="I512" s="35">
        <f t="shared" si="234"/>
        <v>3675.2</v>
      </c>
      <c r="J512" s="35">
        <f t="shared" si="234"/>
        <v>3675.2</v>
      </c>
      <c r="K512" s="35">
        <f t="shared" si="234"/>
        <v>3675.2</v>
      </c>
      <c r="L512" s="35">
        <f t="shared" si="221"/>
        <v>75.001020366515647</v>
      </c>
      <c r="M512" s="35">
        <f t="shared" si="223"/>
        <v>100</v>
      </c>
    </row>
    <row r="513" spans="1:13">
      <c r="A513" s="59" t="s">
        <v>82</v>
      </c>
      <c r="B513" s="28" t="s">
        <v>283</v>
      </c>
      <c r="C513" s="28" t="s">
        <v>110</v>
      </c>
      <c r="D513" s="28" t="s">
        <v>93</v>
      </c>
      <c r="E513" s="28" t="s">
        <v>286</v>
      </c>
      <c r="F513" s="28" t="s">
        <v>83</v>
      </c>
      <c r="G513" s="35">
        <v>4900.2</v>
      </c>
      <c r="H513" s="35">
        <v>4900.2</v>
      </c>
      <c r="I513" s="35">
        <v>3675.2</v>
      </c>
      <c r="J513" s="35">
        <v>3675.2</v>
      </c>
      <c r="K513" s="35">
        <v>3675.2</v>
      </c>
      <c r="L513" s="35">
        <f t="shared" si="221"/>
        <v>75.001020366515647</v>
      </c>
      <c r="M513" s="35">
        <f t="shared" si="223"/>
        <v>100</v>
      </c>
    </row>
    <row r="514" spans="1:13" ht="25.5">
      <c r="A514" s="59" t="s">
        <v>142</v>
      </c>
      <c r="B514" s="28" t="s">
        <v>283</v>
      </c>
      <c r="C514" s="28" t="s">
        <v>110</v>
      </c>
      <c r="D514" s="28" t="s">
        <v>93</v>
      </c>
      <c r="E514" s="28" t="s">
        <v>143</v>
      </c>
      <c r="F514" s="58" t="s">
        <v>0</v>
      </c>
      <c r="G514" s="35">
        <f>G515</f>
        <v>84</v>
      </c>
      <c r="H514" s="35">
        <f t="shared" ref="H514:K516" si="235">H515</f>
        <v>84</v>
      </c>
      <c r="I514" s="35">
        <f t="shared" si="235"/>
        <v>84</v>
      </c>
      <c r="J514" s="35">
        <f t="shared" si="235"/>
        <v>84</v>
      </c>
      <c r="K514" s="35">
        <f t="shared" si="235"/>
        <v>84</v>
      </c>
      <c r="L514" s="35">
        <f t="shared" si="221"/>
        <v>100</v>
      </c>
      <c r="M514" s="35">
        <f t="shared" si="223"/>
        <v>100</v>
      </c>
    </row>
    <row r="515" spans="1:13" ht="25.5">
      <c r="A515" s="59" t="s">
        <v>76</v>
      </c>
      <c r="B515" s="28" t="s">
        <v>283</v>
      </c>
      <c r="C515" s="28" t="s">
        <v>110</v>
      </c>
      <c r="D515" s="28" t="s">
        <v>93</v>
      </c>
      <c r="E515" s="28" t="s">
        <v>287</v>
      </c>
      <c r="F515" s="58" t="s">
        <v>0</v>
      </c>
      <c r="G515" s="35">
        <f>G516</f>
        <v>84</v>
      </c>
      <c r="H515" s="35">
        <f t="shared" si="235"/>
        <v>84</v>
      </c>
      <c r="I515" s="35">
        <f t="shared" si="235"/>
        <v>84</v>
      </c>
      <c r="J515" s="35">
        <f t="shared" si="235"/>
        <v>84</v>
      </c>
      <c r="K515" s="35">
        <f t="shared" si="235"/>
        <v>84</v>
      </c>
      <c r="L515" s="35">
        <f t="shared" si="221"/>
        <v>100</v>
      </c>
      <c r="M515" s="35">
        <f t="shared" si="223"/>
        <v>100</v>
      </c>
    </row>
    <row r="516" spans="1:13" ht="25.5">
      <c r="A516" s="59" t="s">
        <v>80</v>
      </c>
      <c r="B516" s="28" t="s">
        <v>283</v>
      </c>
      <c r="C516" s="28" t="s">
        <v>110</v>
      </c>
      <c r="D516" s="28" t="s">
        <v>93</v>
      </c>
      <c r="E516" s="28" t="s">
        <v>287</v>
      </c>
      <c r="F516" s="28" t="s">
        <v>81</v>
      </c>
      <c r="G516" s="35">
        <f>G517</f>
        <v>84</v>
      </c>
      <c r="H516" s="35">
        <f t="shared" si="235"/>
        <v>84</v>
      </c>
      <c r="I516" s="35">
        <f t="shared" si="235"/>
        <v>84</v>
      </c>
      <c r="J516" s="35">
        <f t="shared" si="235"/>
        <v>84</v>
      </c>
      <c r="K516" s="35">
        <f t="shared" si="235"/>
        <v>84</v>
      </c>
      <c r="L516" s="35">
        <f t="shared" si="221"/>
        <v>100</v>
      </c>
      <c r="M516" s="35">
        <f t="shared" si="223"/>
        <v>100</v>
      </c>
    </row>
    <row r="517" spans="1:13">
      <c r="A517" s="59" t="s">
        <v>82</v>
      </c>
      <c r="B517" s="28" t="s">
        <v>283</v>
      </c>
      <c r="C517" s="28" t="s">
        <v>110</v>
      </c>
      <c r="D517" s="28" t="s">
        <v>93</v>
      </c>
      <c r="E517" s="28" t="s">
        <v>287</v>
      </c>
      <c r="F517" s="28" t="s">
        <v>83</v>
      </c>
      <c r="G517" s="35">
        <v>84</v>
      </c>
      <c r="H517" s="35">
        <v>84</v>
      </c>
      <c r="I517" s="35">
        <v>84</v>
      </c>
      <c r="J517" s="35">
        <v>84</v>
      </c>
      <c r="K517" s="35">
        <v>84</v>
      </c>
      <c r="L517" s="35">
        <f t="shared" si="221"/>
        <v>100</v>
      </c>
      <c r="M517" s="35">
        <f t="shared" si="223"/>
        <v>100</v>
      </c>
    </row>
    <row r="518" spans="1:13">
      <c r="A518" s="60" t="s">
        <v>0</v>
      </c>
      <c r="B518" s="58" t="s">
        <v>0</v>
      </c>
      <c r="C518" s="58" t="s">
        <v>0</v>
      </c>
      <c r="D518" s="58" t="s">
        <v>0</v>
      </c>
      <c r="E518" s="58" t="s">
        <v>0</v>
      </c>
      <c r="F518" s="58" t="s">
        <v>0</v>
      </c>
      <c r="G518" s="61" t="s">
        <v>0</v>
      </c>
      <c r="H518" s="61" t="s">
        <v>0</v>
      </c>
      <c r="I518" s="61" t="s">
        <v>0</v>
      </c>
      <c r="J518" s="61" t="s">
        <v>0</v>
      </c>
      <c r="K518" s="61" t="s">
        <v>0</v>
      </c>
      <c r="L518" s="35"/>
      <c r="M518" s="35"/>
    </row>
    <row r="519" spans="1:13">
      <c r="A519" s="59" t="s">
        <v>134</v>
      </c>
      <c r="B519" s="28" t="s">
        <v>283</v>
      </c>
      <c r="C519" s="28" t="s">
        <v>46</v>
      </c>
      <c r="D519" s="58" t="s">
        <v>0</v>
      </c>
      <c r="E519" s="58" t="s">
        <v>0</v>
      </c>
      <c r="F519" s="58" t="s">
        <v>0</v>
      </c>
      <c r="G519" s="35">
        <f>G520+G564+G613+G622+G629+G635</f>
        <v>12068309.699999999</v>
      </c>
      <c r="H519" s="35">
        <f>H520+H564+H613+H622+H629+H635</f>
        <v>12485527.403250001</v>
      </c>
      <c r="I519" s="35">
        <f>I520+I564+I613+I622+I629+I635</f>
        <v>9189633.0850600004</v>
      </c>
      <c r="J519" s="35">
        <f>J520+J564+J613+J622+J629+J635</f>
        <v>9189633.0850600004</v>
      </c>
      <c r="K519" s="35">
        <f>K520+K564+K613+K622+K629+K635</f>
        <v>9178541.1508500017</v>
      </c>
      <c r="L519" s="35">
        <f t="shared" si="221"/>
        <v>73.51344364084143</v>
      </c>
      <c r="M519" s="35">
        <f t="shared" si="223"/>
        <v>99.8792994877235</v>
      </c>
    </row>
    <row r="520" spans="1:13">
      <c r="A520" s="59" t="s">
        <v>135</v>
      </c>
      <c r="B520" s="28" t="s">
        <v>283</v>
      </c>
      <c r="C520" s="28" t="s">
        <v>46</v>
      </c>
      <c r="D520" s="28" t="s">
        <v>17</v>
      </c>
      <c r="E520" s="58" t="s">
        <v>0</v>
      </c>
      <c r="F520" s="58" t="s">
        <v>0</v>
      </c>
      <c r="G520" s="35">
        <f>G521+G544</f>
        <v>2276934.8000000003</v>
      </c>
      <c r="H520" s="35">
        <f>H521+H544+H555+H559</f>
        <v>2333160.3237700001</v>
      </c>
      <c r="I520" s="35">
        <f t="shared" ref="I520:K520" si="236">I521+I544+I555+I559</f>
        <v>1560783.07577</v>
      </c>
      <c r="J520" s="35">
        <f t="shared" si="236"/>
        <v>1560783.07577</v>
      </c>
      <c r="K520" s="35">
        <f t="shared" si="236"/>
        <v>1560783.07577</v>
      </c>
      <c r="L520" s="35">
        <f t="shared" si="221"/>
        <v>66.895663357074113</v>
      </c>
      <c r="M520" s="35">
        <f t="shared" si="223"/>
        <v>100</v>
      </c>
    </row>
    <row r="521" spans="1:13" ht="38.25">
      <c r="A521" s="59" t="s">
        <v>136</v>
      </c>
      <c r="B521" s="28" t="s">
        <v>283</v>
      </c>
      <c r="C521" s="28" t="s">
        <v>46</v>
      </c>
      <c r="D521" s="28" t="s">
        <v>17</v>
      </c>
      <c r="E521" s="28" t="s">
        <v>137</v>
      </c>
      <c r="F521" s="58" t="s">
        <v>0</v>
      </c>
      <c r="G521" s="35">
        <f>G522+G537</f>
        <v>2275934.8000000003</v>
      </c>
      <c r="H521" s="35">
        <f>H522+H537+H541</f>
        <v>2316092.75</v>
      </c>
      <c r="I521" s="35">
        <f t="shared" ref="I521:K521" si="237">I522+I537+I541</f>
        <v>1546215.5019999999</v>
      </c>
      <c r="J521" s="35">
        <f t="shared" si="237"/>
        <v>1546215.5019999999</v>
      </c>
      <c r="K521" s="35">
        <f t="shared" si="237"/>
        <v>1546215.5019999999</v>
      </c>
      <c r="L521" s="35">
        <f t="shared" si="221"/>
        <v>66.759653817836082</v>
      </c>
      <c r="M521" s="35">
        <f t="shared" si="223"/>
        <v>100</v>
      </c>
    </row>
    <row r="522" spans="1:13" ht="63.75">
      <c r="A522" s="59" t="s">
        <v>289</v>
      </c>
      <c r="B522" s="28" t="s">
        <v>283</v>
      </c>
      <c r="C522" s="28" t="s">
        <v>46</v>
      </c>
      <c r="D522" s="28" t="s">
        <v>17</v>
      </c>
      <c r="E522" s="28" t="s">
        <v>290</v>
      </c>
      <c r="F522" s="58" t="s">
        <v>0</v>
      </c>
      <c r="G522" s="35">
        <f>G523+G530+G534</f>
        <v>1985900.2000000002</v>
      </c>
      <c r="H522" s="35">
        <f>H523+H530+H534+H526</f>
        <v>2020858.3</v>
      </c>
      <c r="I522" s="35">
        <f t="shared" ref="I522:K522" si="238">I523+I530+I534+I526</f>
        <v>1354349.5019999999</v>
      </c>
      <c r="J522" s="35">
        <f t="shared" si="238"/>
        <v>1354349.5019999999</v>
      </c>
      <c r="K522" s="35">
        <f t="shared" si="238"/>
        <v>1354349.5019999999</v>
      </c>
      <c r="L522" s="35">
        <f t="shared" si="221"/>
        <v>67.018528810258488</v>
      </c>
      <c r="M522" s="35">
        <f t="shared" si="223"/>
        <v>100</v>
      </c>
    </row>
    <row r="523" spans="1:13" ht="38.25" hidden="1">
      <c r="A523" s="59" t="s">
        <v>291</v>
      </c>
      <c r="B523" s="28" t="s">
        <v>283</v>
      </c>
      <c r="C523" s="28" t="s">
        <v>46</v>
      </c>
      <c r="D523" s="28" t="s">
        <v>17</v>
      </c>
      <c r="E523" s="28" t="s">
        <v>292</v>
      </c>
      <c r="F523" s="58" t="s">
        <v>0</v>
      </c>
      <c r="G523" s="35">
        <f>G524</f>
        <v>0</v>
      </c>
      <c r="H523" s="35">
        <f t="shared" ref="H523:K524" si="239">H524</f>
        <v>0</v>
      </c>
      <c r="I523" s="35">
        <f t="shared" si="239"/>
        <v>0</v>
      </c>
      <c r="J523" s="35">
        <f t="shared" si="239"/>
        <v>0</v>
      </c>
      <c r="K523" s="35">
        <f t="shared" si="239"/>
        <v>0</v>
      </c>
      <c r="L523" s="35" t="e">
        <f t="shared" si="221"/>
        <v>#DIV/0!</v>
      </c>
      <c r="M523" s="35" t="e">
        <f t="shared" si="223"/>
        <v>#DIV/0!</v>
      </c>
    </row>
    <row r="524" spans="1:13" ht="25.5" hidden="1">
      <c r="A524" s="59" t="s">
        <v>80</v>
      </c>
      <c r="B524" s="28" t="s">
        <v>283</v>
      </c>
      <c r="C524" s="28" t="s">
        <v>46</v>
      </c>
      <c r="D524" s="28" t="s">
        <v>17</v>
      </c>
      <c r="E524" s="28" t="s">
        <v>292</v>
      </c>
      <c r="F524" s="28" t="s">
        <v>81</v>
      </c>
      <c r="G524" s="35">
        <f>G525</f>
        <v>0</v>
      </c>
      <c r="H524" s="35">
        <f t="shared" si="239"/>
        <v>0</v>
      </c>
      <c r="I524" s="35">
        <f t="shared" si="239"/>
        <v>0</v>
      </c>
      <c r="J524" s="35">
        <f t="shared" si="239"/>
        <v>0</v>
      </c>
      <c r="K524" s="35">
        <f t="shared" si="239"/>
        <v>0</v>
      </c>
      <c r="L524" s="35" t="e">
        <f t="shared" si="221"/>
        <v>#DIV/0!</v>
      </c>
      <c r="M524" s="35" t="e">
        <f t="shared" si="223"/>
        <v>#DIV/0!</v>
      </c>
    </row>
    <row r="525" spans="1:13" hidden="1">
      <c r="A525" s="59" t="s">
        <v>271</v>
      </c>
      <c r="B525" s="28" t="s">
        <v>283</v>
      </c>
      <c r="C525" s="28" t="s">
        <v>46</v>
      </c>
      <c r="D525" s="28" t="s">
        <v>17</v>
      </c>
      <c r="E525" s="28" t="s">
        <v>292</v>
      </c>
      <c r="F525" s="28" t="s">
        <v>272</v>
      </c>
      <c r="G525" s="35"/>
      <c r="H525" s="35"/>
      <c r="I525" s="35">
        <v>0</v>
      </c>
      <c r="J525" s="35">
        <v>0</v>
      </c>
      <c r="K525" s="35">
        <v>0</v>
      </c>
      <c r="L525" s="35" t="e">
        <f t="shared" si="221"/>
        <v>#DIV/0!</v>
      </c>
      <c r="M525" s="35" t="e">
        <f t="shared" si="223"/>
        <v>#DIV/0!</v>
      </c>
    </row>
    <row r="526" spans="1:13" s="91" customFormat="1" ht="63.75">
      <c r="A526" s="76" t="s">
        <v>1254</v>
      </c>
      <c r="B526" s="28" t="s">
        <v>283</v>
      </c>
      <c r="C526" s="28" t="s">
        <v>46</v>
      </c>
      <c r="D526" s="28" t="s">
        <v>17</v>
      </c>
      <c r="E526" s="77" t="s">
        <v>1253</v>
      </c>
      <c r="F526" s="28"/>
      <c r="G526" s="35"/>
      <c r="H526" s="35">
        <f>H527</f>
        <v>42688</v>
      </c>
      <c r="I526" s="35">
        <f t="shared" ref="I526:K526" si="240">I527</f>
        <v>17408.7</v>
      </c>
      <c r="J526" s="35">
        <f t="shared" si="240"/>
        <v>17408.7</v>
      </c>
      <c r="K526" s="35">
        <f t="shared" si="240"/>
        <v>17408.7</v>
      </c>
      <c r="L526" s="35">
        <f t="shared" si="221"/>
        <v>40.78125</v>
      </c>
      <c r="M526" s="35">
        <f t="shared" si="223"/>
        <v>100</v>
      </c>
    </row>
    <row r="527" spans="1:13" s="91" customFormat="1" ht="25.5">
      <c r="A527" s="59" t="s">
        <v>80</v>
      </c>
      <c r="B527" s="28" t="s">
        <v>283</v>
      </c>
      <c r="C527" s="28" t="s">
        <v>46</v>
      </c>
      <c r="D527" s="28" t="s">
        <v>17</v>
      </c>
      <c r="E527" s="77" t="s">
        <v>1253</v>
      </c>
      <c r="F527" s="28">
        <v>600</v>
      </c>
      <c r="G527" s="35"/>
      <c r="H527" s="35">
        <f>H528+H529</f>
        <v>42688</v>
      </c>
      <c r="I527" s="35">
        <f t="shared" ref="I527:K527" si="241">I528+I529</f>
        <v>17408.7</v>
      </c>
      <c r="J527" s="35">
        <f t="shared" si="241"/>
        <v>17408.7</v>
      </c>
      <c r="K527" s="35">
        <f t="shared" si="241"/>
        <v>17408.7</v>
      </c>
      <c r="L527" s="35">
        <f t="shared" si="221"/>
        <v>40.78125</v>
      </c>
      <c r="M527" s="35">
        <f t="shared" si="223"/>
        <v>100</v>
      </c>
    </row>
    <row r="528" spans="1:13" s="91" customFormat="1">
      <c r="A528" s="59" t="s">
        <v>271</v>
      </c>
      <c r="B528" s="28" t="s">
        <v>283</v>
      </c>
      <c r="C528" s="28" t="s">
        <v>46</v>
      </c>
      <c r="D528" s="28" t="s">
        <v>17</v>
      </c>
      <c r="E528" s="77" t="s">
        <v>1253</v>
      </c>
      <c r="F528" s="28">
        <v>610</v>
      </c>
      <c r="G528" s="35"/>
      <c r="H528" s="35">
        <v>41932.123659999997</v>
      </c>
      <c r="I528" s="35">
        <v>16948.7</v>
      </c>
      <c r="J528" s="35">
        <v>16948.7</v>
      </c>
      <c r="K528" s="35">
        <v>16948.7</v>
      </c>
      <c r="L528" s="35">
        <f t="shared" si="221"/>
        <v>40.419369496822668</v>
      </c>
      <c r="M528" s="35">
        <f t="shared" si="223"/>
        <v>100</v>
      </c>
    </row>
    <row r="529" spans="1:13" s="91" customFormat="1">
      <c r="A529" s="59" t="s">
        <v>82</v>
      </c>
      <c r="B529" s="28" t="s">
        <v>283</v>
      </c>
      <c r="C529" s="28" t="s">
        <v>46</v>
      </c>
      <c r="D529" s="28" t="s">
        <v>17</v>
      </c>
      <c r="E529" s="77" t="s">
        <v>1253</v>
      </c>
      <c r="F529" s="28">
        <v>620</v>
      </c>
      <c r="G529" s="35"/>
      <c r="H529" s="35">
        <v>755.87634000000003</v>
      </c>
      <c r="I529" s="35">
        <v>460</v>
      </c>
      <c r="J529" s="35">
        <v>460</v>
      </c>
      <c r="K529" s="35">
        <v>460</v>
      </c>
      <c r="L529" s="35">
        <f t="shared" si="221"/>
        <v>60.856515233695497</v>
      </c>
      <c r="M529" s="35">
        <f t="shared" si="223"/>
        <v>100</v>
      </c>
    </row>
    <row r="530" spans="1:13" ht="25.5">
      <c r="A530" s="59" t="s">
        <v>76</v>
      </c>
      <c r="B530" s="28" t="s">
        <v>283</v>
      </c>
      <c r="C530" s="28" t="s">
        <v>46</v>
      </c>
      <c r="D530" s="28" t="s">
        <v>17</v>
      </c>
      <c r="E530" s="28" t="s">
        <v>293</v>
      </c>
      <c r="F530" s="58" t="s">
        <v>0</v>
      </c>
      <c r="G530" s="35">
        <f>G531</f>
        <v>1812991.9000000001</v>
      </c>
      <c r="H530" s="35">
        <f t="shared" ref="H530:K530" si="242">H531</f>
        <v>1805262</v>
      </c>
      <c r="I530" s="35">
        <f t="shared" si="242"/>
        <v>1207259.602</v>
      </c>
      <c r="J530" s="35">
        <f t="shared" si="242"/>
        <v>1207259.602</v>
      </c>
      <c r="K530" s="35">
        <f t="shared" si="242"/>
        <v>1207259.602</v>
      </c>
      <c r="L530" s="35">
        <f t="shared" si="221"/>
        <v>66.874481488005628</v>
      </c>
      <c r="M530" s="35">
        <f t="shared" si="223"/>
        <v>100</v>
      </c>
    </row>
    <row r="531" spans="1:13" ht="25.5">
      <c r="A531" s="59" t="s">
        <v>80</v>
      </c>
      <c r="B531" s="28" t="s">
        <v>283</v>
      </c>
      <c r="C531" s="28" t="s">
        <v>46</v>
      </c>
      <c r="D531" s="28" t="s">
        <v>17</v>
      </c>
      <c r="E531" s="28" t="s">
        <v>293</v>
      </c>
      <c r="F531" s="28" t="s">
        <v>81</v>
      </c>
      <c r="G531" s="35">
        <f>G532+G533</f>
        <v>1812991.9000000001</v>
      </c>
      <c r="H531" s="35">
        <f t="shared" ref="H531:K531" si="243">H532+H533</f>
        <v>1805262</v>
      </c>
      <c r="I531" s="35">
        <f t="shared" si="243"/>
        <v>1207259.602</v>
      </c>
      <c r="J531" s="35">
        <f t="shared" si="243"/>
        <v>1207259.602</v>
      </c>
      <c r="K531" s="35">
        <f t="shared" si="243"/>
        <v>1207259.602</v>
      </c>
      <c r="L531" s="35">
        <f t="shared" si="221"/>
        <v>66.874481488005628</v>
      </c>
      <c r="M531" s="35">
        <f t="shared" si="223"/>
        <v>100</v>
      </c>
    </row>
    <row r="532" spans="1:13">
      <c r="A532" s="59" t="s">
        <v>271</v>
      </c>
      <c r="B532" s="28" t="s">
        <v>283</v>
      </c>
      <c r="C532" s="28" t="s">
        <v>46</v>
      </c>
      <c r="D532" s="28" t="s">
        <v>17</v>
      </c>
      <c r="E532" s="28" t="s">
        <v>293</v>
      </c>
      <c r="F532" s="28" t="s">
        <v>272</v>
      </c>
      <c r="G532" s="35">
        <v>1780789.8</v>
      </c>
      <c r="H532" s="35">
        <v>1773059.9</v>
      </c>
      <c r="I532" s="35">
        <v>1183990.702</v>
      </c>
      <c r="J532" s="35">
        <v>1183990.702</v>
      </c>
      <c r="K532" s="35">
        <v>1183990.702</v>
      </c>
      <c r="L532" s="35">
        <f t="shared" si="221"/>
        <v>66.776689383139285</v>
      </c>
      <c r="M532" s="35">
        <f t="shared" si="223"/>
        <v>100</v>
      </c>
    </row>
    <row r="533" spans="1:13">
      <c r="A533" s="59" t="s">
        <v>82</v>
      </c>
      <c r="B533" s="28" t="s">
        <v>283</v>
      </c>
      <c r="C533" s="28" t="s">
        <v>46</v>
      </c>
      <c r="D533" s="28" t="s">
        <v>17</v>
      </c>
      <c r="E533" s="28" t="s">
        <v>293</v>
      </c>
      <c r="F533" s="28" t="s">
        <v>83</v>
      </c>
      <c r="G533" s="35">
        <v>32202.1</v>
      </c>
      <c r="H533" s="35">
        <v>32202.1</v>
      </c>
      <c r="I533" s="35">
        <v>23268.9</v>
      </c>
      <c r="J533" s="35">
        <v>23268.9</v>
      </c>
      <c r="K533" s="35">
        <v>23268.9</v>
      </c>
      <c r="L533" s="35">
        <f t="shared" si="221"/>
        <v>72.258952055921824</v>
      </c>
      <c r="M533" s="35">
        <f t="shared" si="223"/>
        <v>100</v>
      </c>
    </row>
    <row r="534" spans="1:13" ht="63.75">
      <c r="A534" s="59" t="s">
        <v>294</v>
      </c>
      <c r="B534" s="28" t="s">
        <v>283</v>
      </c>
      <c r="C534" s="28" t="s">
        <v>46</v>
      </c>
      <c r="D534" s="28" t="s">
        <v>17</v>
      </c>
      <c r="E534" s="28" t="s">
        <v>295</v>
      </c>
      <c r="F534" s="58" t="s">
        <v>0</v>
      </c>
      <c r="G534" s="35">
        <f>G535</f>
        <v>172908.3</v>
      </c>
      <c r="H534" s="35">
        <f t="shared" ref="H534:K535" si="244">H535</f>
        <v>172908.3</v>
      </c>
      <c r="I534" s="35">
        <f t="shared" si="244"/>
        <v>129681.2</v>
      </c>
      <c r="J534" s="35">
        <f t="shared" si="244"/>
        <v>129681.2</v>
      </c>
      <c r="K534" s="35">
        <f t="shared" si="244"/>
        <v>129681.2</v>
      </c>
      <c r="L534" s="35">
        <f t="shared" si="221"/>
        <v>74.999985541469101</v>
      </c>
      <c r="M534" s="35">
        <f t="shared" si="223"/>
        <v>100</v>
      </c>
    </row>
    <row r="535" spans="1:13" ht="25.5">
      <c r="A535" s="59" t="s">
        <v>80</v>
      </c>
      <c r="B535" s="28" t="s">
        <v>283</v>
      </c>
      <c r="C535" s="28" t="s">
        <v>46</v>
      </c>
      <c r="D535" s="28" t="s">
        <v>17</v>
      </c>
      <c r="E535" s="28" t="s">
        <v>295</v>
      </c>
      <c r="F535" s="28" t="s">
        <v>81</v>
      </c>
      <c r="G535" s="35">
        <f>G536</f>
        <v>172908.3</v>
      </c>
      <c r="H535" s="35">
        <f t="shared" si="244"/>
        <v>172908.3</v>
      </c>
      <c r="I535" s="35">
        <f t="shared" si="244"/>
        <v>129681.2</v>
      </c>
      <c r="J535" s="35">
        <f t="shared" si="244"/>
        <v>129681.2</v>
      </c>
      <c r="K535" s="35">
        <f t="shared" si="244"/>
        <v>129681.2</v>
      </c>
      <c r="L535" s="35">
        <f t="shared" si="221"/>
        <v>74.999985541469101</v>
      </c>
      <c r="M535" s="35">
        <f t="shared" si="223"/>
        <v>100</v>
      </c>
    </row>
    <row r="536" spans="1:13">
      <c r="A536" s="59" t="s">
        <v>271</v>
      </c>
      <c r="B536" s="28" t="s">
        <v>283</v>
      </c>
      <c r="C536" s="28" t="s">
        <v>46</v>
      </c>
      <c r="D536" s="28" t="s">
        <v>17</v>
      </c>
      <c r="E536" s="28" t="s">
        <v>295</v>
      </c>
      <c r="F536" s="28" t="s">
        <v>272</v>
      </c>
      <c r="G536" s="35">
        <v>172908.3</v>
      </c>
      <c r="H536" s="35">
        <v>172908.3</v>
      </c>
      <c r="I536" s="35">
        <v>129681.2</v>
      </c>
      <c r="J536" s="35">
        <v>129681.2</v>
      </c>
      <c r="K536" s="35">
        <v>129681.2</v>
      </c>
      <c r="L536" s="35">
        <f t="shared" si="221"/>
        <v>74.999985541469101</v>
      </c>
      <c r="M536" s="35">
        <f t="shared" si="223"/>
        <v>100</v>
      </c>
    </row>
    <row r="537" spans="1:13" ht="25.5">
      <c r="A537" s="59" t="s">
        <v>296</v>
      </c>
      <c r="B537" s="28" t="s">
        <v>283</v>
      </c>
      <c r="C537" s="28" t="s">
        <v>46</v>
      </c>
      <c r="D537" s="28" t="s">
        <v>17</v>
      </c>
      <c r="E537" s="28" t="s">
        <v>297</v>
      </c>
      <c r="F537" s="58" t="s">
        <v>0</v>
      </c>
      <c r="G537" s="35">
        <f>G538</f>
        <v>290034.59999999998</v>
      </c>
      <c r="H537" s="35">
        <f t="shared" ref="H537:K539" si="245">H538</f>
        <v>290034.59999999998</v>
      </c>
      <c r="I537" s="35">
        <f t="shared" si="245"/>
        <v>191866</v>
      </c>
      <c r="J537" s="35">
        <f t="shared" si="245"/>
        <v>191866</v>
      </c>
      <c r="K537" s="35">
        <f t="shared" si="245"/>
        <v>191866</v>
      </c>
      <c r="L537" s="35">
        <f t="shared" si="221"/>
        <v>66.152796942157948</v>
      </c>
      <c r="M537" s="35">
        <f t="shared" si="223"/>
        <v>100</v>
      </c>
    </row>
    <row r="538" spans="1:13" ht="25.5">
      <c r="A538" s="59" t="s">
        <v>76</v>
      </c>
      <c r="B538" s="28" t="s">
        <v>283</v>
      </c>
      <c r="C538" s="28" t="s">
        <v>46</v>
      </c>
      <c r="D538" s="28" t="s">
        <v>17</v>
      </c>
      <c r="E538" s="28" t="s">
        <v>298</v>
      </c>
      <c r="F538" s="58" t="s">
        <v>0</v>
      </c>
      <c r="G538" s="35">
        <f>G539</f>
        <v>290034.59999999998</v>
      </c>
      <c r="H538" s="35">
        <f t="shared" si="245"/>
        <v>290034.59999999998</v>
      </c>
      <c r="I538" s="35">
        <f t="shared" si="245"/>
        <v>191866</v>
      </c>
      <c r="J538" s="35">
        <f t="shared" si="245"/>
        <v>191866</v>
      </c>
      <c r="K538" s="35">
        <f t="shared" si="245"/>
        <v>191866</v>
      </c>
      <c r="L538" s="35">
        <f t="shared" si="221"/>
        <v>66.152796942157948</v>
      </c>
      <c r="M538" s="35">
        <f t="shared" si="223"/>
        <v>100</v>
      </c>
    </row>
    <row r="539" spans="1:13" ht="25.5">
      <c r="A539" s="59" t="s">
        <v>80</v>
      </c>
      <c r="B539" s="28" t="s">
        <v>283</v>
      </c>
      <c r="C539" s="28" t="s">
        <v>46</v>
      </c>
      <c r="D539" s="28" t="s">
        <v>17</v>
      </c>
      <c r="E539" s="28" t="s">
        <v>298</v>
      </c>
      <c r="F539" s="28" t="s">
        <v>81</v>
      </c>
      <c r="G539" s="35">
        <f>G540</f>
        <v>290034.59999999998</v>
      </c>
      <c r="H539" s="35">
        <f t="shared" si="245"/>
        <v>290034.59999999998</v>
      </c>
      <c r="I539" s="35">
        <f t="shared" si="245"/>
        <v>191866</v>
      </c>
      <c r="J539" s="35">
        <f t="shared" si="245"/>
        <v>191866</v>
      </c>
      <c r="K539" s="35">
        <f t="shared" si="245"/>
        <v>191866</v>
      </c>
      <c r="L539" s="35">
        <f t="shared" si="221"/>
        <v>66.152796942157948</v>
      </c>
      <c r="M539" s="35">
        <f t="shared" si="223"/>
        <v>100</v>
      </c>
    </row>
    <row r="540" spans="1:13">
      <c r="A540" s="59" t="s">
        <v>271</v>
      </c>
      <c r="B540" s="28" t="s">
        <v>283</v>
      </c>
      <c r="C540" s="28" t="s">
        <v>46</v>
      </c>
      <c r="D540" s="28" t="s">
        <v>17</v>
      </c>
      <c r="E540" s="28" t="s">
        <v>298</v>
      </c>
      <c r="F540" s="28" t="s">
        <v>272</v>
      </c>
      <c r="G540" s="35">
        <v>290034.59999999998</v>
      </c>
      <c r="H540" s="35">
        <v>290034.59999999998</v>
      </c>
      <c r="I540" s="35">
        <v>191866</v>
      </c>
      <c r="J540" s="35">
        <v>191866</v>
      </c>
      <c r="K540" s="35">
        <v>191866</v>
      </c>
      <c r="L540" s="35">
        <f t="shared" si="221"/>
        <v>66.152796942157948</v>
      </c>
      <c r="M540" s="35">
        <f t="shared" si="223"/>
        <v>100</v>
      </c>
    </row>
    <row r="541" spans="1:13" s="91" customFormat="1" ht="25.5">
      <c r="A541" s="59" t="s">
        <v>76</v>
      </c>
      <c r="B541" s="28" t="s">
        <v>283</v>
      </c>
      <c r="C541" s="28" t="s">
        <v>46</v>
      </c>
      <c r="D541" s="28" t="s">
        <v>17</v>
      </c>
      <c r="E541" s="77" t="s">
        <v>1255</v>
      </c>
      <c r="F541" s="28"/>
      <c r="G541" s="35"/>
      <c r="H541" s="35">
        <f>H542</f>
        <v>5199.8500000000004</v>
      </c>
      <c r="I541" s="35">
        <f t="shared" ref="I541:K542" si="246">I542</f>
        <v>0</v>
      </c>
      <c r="J541" s="35">
        <f t="shared" si="246"/>
        <v>0</v>
      </c>
      <c r="K541" s="35">
        <f t="shared" si="246"/>
        <v>0</v>
      </c>
      <c r="L541" s="35">
        <f t="shared" si="221"/>
        <v>0</v>
      </c>
      <c r="M541" s="35">
        <v>0</v>
      </c>
    </row>
    <row r="542" spans="1:13" s="91" customFormat="1" ht="25.5">
      <c r="A542" s="59" t="s">
        <v>80</v>
      </c>
      <c r="B542" s="28" t="s">
        <v>283</v>
      </c>
      <c r="C542" s="28" t="s">
        <v>46</v>
      </c>
      <c r="D542" s="28" t="s">
        <v>17</v>
      </c>
      <c r="E542" s="77" t="s">
        <v>1255</v>
      </c>
      <c r="F542" s="28">
        <v>600</v>
      </c>
      <c r="G542" s="35"/>
      <c r="H542" s="35">
        <f>H543</f>
        <v>5199.8500000000004</v>
      </c>
      <c r="I542" s="35">
        <f t="shared" si="246"/>
        <v>0</v>
      </c>
      <c r="J542" s="35">
        <f t="shared" si="246"/>
        <v>0</v>
      </c>
      <c r="K542" s="35">
        <f t="shared" si="246"/>
        <v>0</v>
      </c>
      <c r="L542" s="35">
        <f t="shared" si="221"/>
        <v>0</v>
      </c>
      <c r="M542" s="35">
        <v>0</v>
      </c>
    </row>
    <row r="543" spans="1:13" s="91" customFormat="1">
      <c r="A543" s="59" t="s">
        <v>271</v>
      </c>
      <c r="B543" s="28" t="s">
        <v>283</v>
      </c>
      <c r="C543" s="28" t="s">
        <v>46</v>
      </c>
      <c r="D543" s="28" t="s">
        <v>17</v>
      </c>
      <c r="E543" s="77" t="s">
        <v>1255</v>
      </c>
      <c r="F543" s="28">
        <v>610</v>
      </c>
      <c r="G543" s="35"/>
      <c r="H543" s="35">
        <v>5199.8500000000004</v>
      </c>
      <c r="I543" s="35">
        <v>0</v>
      </c>
      <c r="J543" s="35">
        <v>0</v>
      </c>
      <c r="K543" s="35"/>
      <c r="L543" s="35">
        <f t="shared" si="221"/>
        <v>0</v>
      </c>
      <c r="M543" s="35">
        <v>0</v>
      </c>
    </row>
    <row r="544" spans="1:13" ht="38.25">
      <c r="A544" s="59" t="s">
        <v>299</v>
      </c>
      <c r="B544" s="28" t="s">
        <v>283</v>
      </c>
      <c r="C544" s="28" t="s">
        <v>46</v>
      </c>
      <c r="D544" s="28" t="s">
        <v>17</v>
      </c>
      <c r="E544" s="28" t="s">
        <v>300</v>
      </c>
      <c r="F544" s="58" t="s">
        <v>0</v>
      </c>
      <c r="G544" s="35">
        <f>G545</f>
        <v>1000</v>
      </c>
      <c r="H544" s="35">
        <f t="shared" ref="H544:K550" si="247">H545</f>
        <v>2800</v>
      </c>
      <c r="I544" s="35">
        <f t="shared" si="247"/>
        <v>300</v>
      </c>
      <c r="J544" s="35">
        <f t="shared" si="247"/>
        <v>300</v>
      </c>
      <c r="K544" s="35">
        <f t="shared" si="247"/>
        <v>300</v>
      </c>
      <c r="L544" s="35">
        <f t="shared" si="221"/>
        <v>10.714285714285714</v>
      </c>
      <c r="M544" s="35">
        <f t="shared" si="223"/>
        <v>100</v>
      </c>
    </row>
    <row r="545" spans="1:13">
      <c r="A545" s="59" t="s">
        <v>301</v>
      </c>
      <c r="B545" s="28" t="s">
        <v>283</v>
      </c>
      <c r="C545" s="28" t="s">
        <v>46</v>
      </c>
      <c r="D545" s="28" t="s">
        <v>17</v>
      </c>
      <c r="E545" s="28" t="s">
        <v>302</v>
      </c>
      <c r="F545" s="58" t="s">
        <v>0</v>
      </c>
      <c r="G545" s="35">
        <f>G549</f>
        <v>1000</v>
      </c>
      <c r="H545" s="35">
        <f>H549+H552+H546</f>
        <v>2800</v>
      </c>
      <c r="I545" s="35">
        <f t="shared" ref="I545:K545" si="248">I549+I552+I546</f>
        <v>300</v>
      </c>
      <c r="J545" s="35">
        <f t="shared" si="248"/>
        <v>300</v>
      </c>
      <c r="K545" s="35">
        <f t="shared" si="248"/>
        <v>300</v>
      </c>
      <c r="L545" s="35">
        <f t="shared" si="221"/>
        <v>10.714285714285714</v>
      </c>
      <c r="M545" s="35">
        <f t="shared" si="223"/>
        <v>100</v>
      </c>
    </row>
    <row r="546" spans="1:13" s="91" customFormat="1" ht="39.75" customHeight="1">
      <c r="A546" s="76" t="s">
        <v>1257</v>
      </c>
      <c r="B546" s="28" t="s">
        <v>283</v>
      </c>
      <c r="C546" s="28" t="s">
        <v>46</v>
      </c>
      <c r="D546" s="28" t="s">
        <v>17</v>
      </c>
      <c r="E546" s="77" t="s">
        <v>1256</v>
      </c>
      <c r="F546" s="58"/>
      <c r="G546" s="35"/>
      <c r="H546" s="35">
        <f>H547</f>
        <v>1800</v>
      </c>
      <c r="I546" s="35">
        <f t="shared" ref="I546:K547" si="249">I547</f>
        <v>0</v>
      </c>
      <c r="J546" s="35">
        <f t="shared" si="249"/>
        <v>0</v>
      </c>
      <c r="K546" s="35">
        <f t="shared" si="249"/>
        <v>0</v>
      </c>
      <c r="L546" s="35">
        <f t="shared" si="221"/>
        <v>0</v>
      </c>
      <c r="M546" s="35">
        <v>0</v>
      </c>
    </row>
    <row r="547" spans="1:13" s="91" customFormat="1" ht="25.5">
      <c r="A547" s="59" t="s">
        <v>64</v>
      </c>
      <c r="B547" s="28" t="s">
        <v>283</v>
      </c>
      <c r="C547" s="28" t="s">
        <v>46</v>
      </c>
      <c r="D547" s="28" t="s">
        <v>17</v>
      </c>
      <c r="E547" s="77" t="s">
        <v>1256</v>
      </c>
      <c r="F547" s="28">
        <v>200</v>
      </c>
      <c r="G547" s="35"/>
      <c r="H547" s="35">
        <f>H548</f>
        <v>1800</v>
      </c>
      <c r="I547" s="35">
        <f t="shared" si="249"/>
        <v>0</v>
      </c>
      <c r="J547" s="35">
        <f t="shared" si="249"/>
        <v>0</v>
      </c>
      <c r="K547" s="35">
        <f t="shared" si="249"/>
        <v>0</v>
      </c>
      <c r="L547" s="35">
        <f t="shared" ref="L547:L610" si="250">K547/H547*100</f>
        <v>0</v>
      </c>
      <c r="M547" s="35">
        <v>0</v>
      </c>
    </row>
    <row r="548" spans="1:13" s="91" customFormat="1" ht="25.5">
      <c r="A548" s="59" t="s">
        <v>66</v>
      </c>
      <c r="B548" s="28" t="s">
        <v>283</v>
      </c>
      <c r="C548" s="28" t="s">
        <v>46</v>
      </c>
      <c r="D548" s="28" t="s">
        <v>17</v>
      </c>
      <c r="E548" s="77" t="s">
        <v>1256</v>
      </c>
      <c r="F548" s="28">
        <v>240</v>
      </c>
      <c r="G548" s="35"/>
      <c r="H548" s="35">
        <v>1800</v>
      </c>
      <c r="I548" s="35">
        <v>0</v>
      </c>
      <c r="J548" s="35">
        <v>0</v>
      </c>
      <c r="K548" s="35">
        <v>0</v>
      </c>
      <c r="L548" s="35">
        <f t="shared" si="250"/>
        <v>0</v>
      </c>
      <c r="M548" s="35">
        <v>0</v>
      </c>
    </row>
    <row r="549" spans="1:13">
      <c r="A549" s="59" t="s">
        <v>303</v>
      </c>
      <c r="B549" s="28" t="s">
        <v>283</v>
      </c>
      <c r="C549" s="28" t="s">
        <v>46</v>
      </c>
      <c r="D549" s="28" t="s">
        <v>17</v>
      </c>
      <c r="E549" s="28" t="s">
        <v>304</v>
      </c>
      <c r="F549" s="58" t="s">
        <v>0</v>
      </c>
      <c r="G549" s="35">
        <f>G550</f>
        <v>1000</v>
      </c>
      <c r="H549" s="35">
        <f t="shared" si="247"/>
        <v>0</v>
      </c>
      <c r="I549" s="35">
        <f t="shared" si="247"/>
        <v>0</v>
      </c>
      <c r="J549" s="35">
        <f t="shared" si="247"/>
        <v>0</v>
      </c>
      <c r="K549" s="35">
        <f t="shared" si="247"/>
        <v>0</v>
      </c>
      <c r="L549" s="35">
        <v>0</v>
      </c>
      <c r="M549" s="35">
        <v>0</v>
      </c>
    </row>
    <row r="550" spans="1:13" ht="25.5">
      <c r="A550" s="59" t="s">
        <v>80</v>
      </c>
      <c r="B550" s="28" t="s">
        <v>283</v>
      </c>
      <c r="C550" s="28" t="s">
        <v>46</v>
      </c>
      <c r="D550" s="28" t="s">
        <v>17</v>
      </c>
      <c r="E550" s="28" t="s">
        <v>304</v>
      </c>
      <c r="F550" s="28" t="s">
        <v>81</v>
      </c>
      <c r="G550" s="35">
        <f>G551</f>
        <v>1000</v>
      </c>
      <c r="H550" s="35">
        <f t="shared" si="247"/>
        <v>0</v>
      </c>
      <c r="I550" s="35">
        <f t="shared" si="247"/>
        <v>0</v>
      </c>
      <c r="J550" s="35">
        <f t="shared" si="247"/>
        <v>0</v>
      </c>
      <c r="K550" s="35">
        <f t="shared" si="247"/>
        <v>0</v>
      </c>
      <c r="L550" s="35">
        <v>0</v>
      </c>
      <c r="M550" s="35">
        <v>0</v>
      </c>
    </row>
    <row r="551" spans="1:13">
      <c r="A551" s="59" t="s">
        <v>271</v>
      </c>
      <c r="B551" s="28" t="s">
        <v>283</v>
      </c>
      <c r="C551" s="28" t="s">
        <v>46</v>
      </c>
      <c r="D551" s="28" t="s">
        <v>17</v>
      </c>
      <c r="E551" s="28" t="s">
        <v>304</v>
      </c>
      <c r="F551" s="28" t="s">
        <v>272</v>
      </c>
      <c r="G551" s="35">
        <v>1000</v>
      </c>
      <c r="H551" s="35"/>
      <c r="I551" s="35">
        <v>0</v>
      </c>
      <c r="J551" s="35">
        <v>0</v>
      </c>
      <c r="K551" s="35">
        <v>0</v>
      </c>
      <c r="L551" s="35">
        <v>0</v>
      </c>
      <c r="M551" s="35">
        <v>0</v>
      </c>
    </row>
    <row r="552" spans="1:13" ht="41.25" customHeight="1">
      <c r="A552" s="59" t="s">
        <v>1116</v>
      </c>
      <c r="B552" s="28" t="s">
        <v>283</v>
      </c>
      <c r="C552" s="28" t="s">
        <v>46</v>
      </c>
      <c r="D552" s="28" t="s">
        <v>17</v>
      </c>
      <c r="E552" s="29" t="s">
        <v>1115</v>
      </c>
      <c r="F552" s="28"/>
      <c r="G552" s="35"/>
      <c r="H552" s="35">
        <f>H553</f>
        <v>1000</v>
      </c>
      <c r="I552" s="35">
        <f t="shared" ref="I552:K553" si="251">I553</f>
        <v>300</v>
      </c>
      <c r="J552" s="35">
        <f t="shared" si="251"/>
        <v>300</v>
      </c>
      <c r="K552" s="35">
        <f t="shared" si="251"/>
        <v>300</v>
      </c>
      <c r="L552" s="35">
        <f t="shared" si="250"/>
        <v>30</v>
      </c>
      <c r="M552" s="35">
        <f t="shared" ref="M552:M610" si="252">K552/I552*100</f>
        <v>100</v>
      </c>
    </row>
    <row r="553" spans="1:13" ht="25.5">
      <c r="A553" s="59" t="s">
        <v>80</v>
      </c>
      <c r="B553" s="28" t="s">
        <v>283</v>
      </c>
      <c r="C553" s="28" t="s">
        <v>46</v>
      </c>
      <c r="D553" s="28" t="s">
        <v>17</v>
      </c>
      <c r="E553" s="29" t="s">
        <v>1115</v>
      </c>
      <c r="F553" s="28" t="s">
        <v>81</v>
      </c>
      <c r="G553" s="35"/>
      <c r="H553" s="35">
        <f>H554</f>
        <v>1000</v>
      </c>
      <c r="I553" s="35">
        <f t="shared" si="251"/>
        <v>300</v>
      </c>
      <c r="J553" s="35">
        <f t="shared" si="251"/>
        <v>300</v>
      </c>
      <c r="K553" s="35">
        <f t="shared" si="251"/>
        <v>300</v>
      </c>
      <c r="L553" s="35">
        <f t="shared" si="250"/>
        <v>30</v>
      </c>
      <c r="M553" s="35">
        <f t="shared" si="252"/>
        <v>100</v>
      </c>
    </row>
    <row r="554" spans="1:13">
      <c r="A554" s="59" t="s">
        <v>271</v>
      </c>
      <c r="B554" s="28" t="s">
        <v>283</v>
      </c>
      <c r="C554" s="28" t="s">
        <v>46</v>
      </c>
      <c r="D554" s="28" t="s">
        <v>17</v>
      </c>
      <c r="E554" s="29" t="s">
        <v>1115</v>
      </c>
      <c r="F554" s="28" t="s">
        <v>272</v>
      </c>
      <c r="G554" s="35"/>
      <c r="H554" s="35">
        <v>1000</v>
      </c>
      <c r="I554" s="35">
        <v>300</v>
      </c>
      <c r="J554" s="35">
        <v>300</v>
      </c>
      <c r="K554" s="35">
        <v>300</v>
      </c>
      <c r="L554" s="35">
        <f t="shared" si="250"/>
        <v>30</v>
      </c>
      <c r="M554" s="35">
        <f t="shared" si="252"/>
        <v>100</v>
      </c>
    </row>
    <row r="555" spans="1:13">
      <c r="A555" s="62" t="s">
        <v>612</v>
      </c>
      <c r="B555" s="28" t="s">
        <v>283</v>
      </c>
      <c r="C555" s="28" t="s">
        <v>46</v>
      </c>
      <c r="D555" s="28" t="s">
        <v>17</v>
      </c>
      <c r="E555" s="29" t="s">
        <v>613</v>
      </c>
      <c r="F555" s="28"/>
      <c r="G555" s="35"/>
      <c r="H555" s="35">
        <f>H556</f>
        <v>13577.94167</v>
      </c>
      <c r="I555" s="35">
        <f t="shared" ref="I555:K557" si="253">I556</f>
        <v>13577.94167</v>
      </c>
      <c r="J555" s="35">
        <f t="shared" si="253"/>
        <v>13577.94167</v>
      </c>
      <c r="K555" s="35">
        <f t="shared" si="253"/>
        <v>13577.94167</v>
      </c>
      <c r="L555" s="35">
        <f t="shared" si="250"/>
        <v>100</v>
      </c>
      <c r="M555" s="35">
        <f t="shared" si="252"/>
        <v>100</v>
      </c>
    </row>
    <row r="556" spans="1:13">
      <c r="A556" s="59" t="s">
        <v>612</v>
      </c>
      <c r="B556" s="28" t="s">
        <v>283</v>
      </c>
      <c r="C556" s="28" t="s">
        <v>46</v>
      </c>
      <c r="D556" s="28" t="s">
        <v>17</v>
      </c>
      <c r="E556" s="29" t="s">
        <v>614</v>
      </c>
      <c r="F556" s="28"/>
      <c r="G556" s="35"/>
      <c r="H556" s="35">
        <f>H557</f>
        <v>13577.94167</v>
      </c>
      <c r="I556" s="35">
        <f t="shared" si="253"/>
        <v>13577.94167</v>
      </c>
      <c r="J556" s="35">
        <f t="shared" si="253"/>
        <v>13577.94167</v>
      </c>
      <c r="K556" s="35">
        <f t="shared" si="253"/>
        <v>13577.94167</v>
      </c>
      <c r="L556" s="35">
        <f t="shared" si="250"/>
        <v>100</v>
      </c>
      <c r="M556" s="35">
        <f t="shared" si="252"/>
        <v>100</v>
      </c>
    </row>
    <row r="557" spans="1:13" ht="25.5">
      <c r="A557" s="59" t="s">
        <v>80</v>
      </c>
      <c r="B557" s="28" t="s">
        <v>283</v>
      </c>
      <c r="C557" s="28" t="s">
        <v>46</v>
      </c>
      <c r="D557" s="28" t="s">
        <v>17</v>
      </c>
      <c r="E557" s="29" t="s">
        <v>614</v>
      </c>
      <c r="F557" s="28" t="s">
        <v>81</v>
      </c>
      <c r="G557" s="35"/>
      <c r="H557" s="35">
        <f>H558</f>
        <v>13577.94167</v>
      </c>
      <c r="I557" s="35">
        <f t="shared" si="253"/>
        <v>13577.94167</v>
      </c>
      <c r="J557" s="35">
        <f t="shared" si="253"/>
        <v>13577.94167</v>
      </c>
      <c r="K557" s="35">
        <f t="shared" si="253"/>
        <v>13577.94167</v>
      </c>
      <c r="L557" s="35">
        <f t="shared" si="250"/>
        <v>100</v>
      </c>
      <c r="M557" s="35">
        <f t="shared" si="252"/>
        <v>100</v>
      </c>
    </row>
    <row r="558" spans="1:13">
      <c r="A558" s="59" t="s">
        <v>271</v>
      </c>
      <c r="B558" s="28" t="s">
        <v>283</v>
      </c>
      <c r="C558" s="28" t="s">
        <v>46</v>
      </c>
      <c r="D558" s="28" t="s">
        <v>17</v>
      </c>
      <c r="E558" s="29" t="s">
        <v>614</v>
      </c>
      <c r="F558" s="28" t="s">
        <v>272</v>
      </c>
      <c r="G558" s="35"/>
      <c r="H558" s="35">
        <v>13577.94167</v>
      </c>
      <c r="I558" s="35">
        <v>13577.94167</v>
      </c>
      <c r="J558" s="35">
        <v>13577.94167</v>
      </c>
      <c r="K558" s="35">
        <v>13577.94167</v>
      </c>
      <c r="L558" s="35">
        <f t="shared" si="250"/>
        <v>100</v>
      </c>
      <c r="M558" s="35">
        <f t="shared" si="252"/>
        <v>100</v>
      </c>
    </row>
    <row r="559" spans="1:13" ht="38.25">
      <c r="A559" s="69" t="s">
        <v>1120</v>
      </c>
      <c r="B559" s="28" t="s">
        <v>283</v>
      </c>
      <c r="C559" s="28" t="s">
        <v>46</v>
      </c>
      <c r="D559" s="28" t="s">
        <v>17</v>
      </c>
      <c r="E559" s="29" t="s">
        <v>1117</v>
      </c>
      <c r="F559" s="28"/>
      <c r="G559" s="35"/>
      <c r="H559" s="35">
        <f>H560</f>
        <v>689.63210000000004</v>
      </c>
      <c r="I559" s="35">
        <f t="shared" ref="I559:K562" si="254">I560</f>
        <v>689.63210000000004</v>
      </c>
      <c r="J559" s="35">
        <f t="shared" si="254"/>
        <v>689.63210000000004</v>
      </c>
      <c r="K559" s="35">
        <f t="shared" si="254"/>
        <v>689.63210000000004</v>
      </c>
      <c r="L559" s="35">
        <f t="shared" si="250"/>
        <v>100</v>
      </c>
      <c r="M559" s="35">
        <f t="shared" si="252"/>
        <v>100</v>
      </c>
    </row>
    <row r="560" spans="1:13" ht="114.75">
      <c r="A560" s="69" t="s">
        <v>1121</v>
      </c>
      <c r="B560" s="28" t="s">
        <v>283</v>
      </c>
      <c r="C560" s="28" t="s">
        <v>46</v>
      </c>
      <c r="D560" s="28" t="s">
        <v>17</v>
      </c>
      <c r="E560" s="29" t="s">
        <v>1118</v>
      </c>
      <c r="F560" s="28"/>
      <c r="G560" s="35"/>
      <c r="H560" s="35">
        <f>H561</f>
        <v>689.63210000000004</v>
      </c>
      <c r="I560" s="35">
        <f t="shared" si="254"/>
        <v>689.63210000000004</v>
      </c>
      <c r="J560" s="35">
        <f t="shared" si="254"/>
        <v>689.63210000000004</v>
      </c>
      <c r="K560" s="35">
        <f t="shared" si="254"/>
        <v>689.63210000000004</v>
      </c>
      <c r="L560" s="35">
        <f t="shared" si="250"/>
        <v>100</v>
      </c>
      <c r="M560" s="35">
        <f t="shared" si="252"/>
        <v>100</v>
      </c>
    </row>
    <row r="561" spans="1:13" ht="127.5" customHeight="1">
      <c r="A561" s="59" t="s">
        <v>1122</v>
      </c>
      <c r="B561" s="28" t="s">
        <v>283</v>
      </c>
      <c r="C561" s="28" t="s">
        <v>46</v>
      </c>
      <c r="D561" s="28" t="s">
        <v>17</v>
      </c>
      <c r="E561" s="29" t="s">
        <v>1119</v>
      </c>
      <c r="F561" s="28"/>
      <c r="G561" s="35"/>
      <c r="H561" s="35">
        <f>H562</f>
        <v>689.63210000000004</v>
      </c>
      <c r="I561" s="35">
        <f t="shared" si="254"/>
        <v>689.63210000000004</v>
      </c>
      <c r="J561" s="35">
        <f t="shared" si="254"/>
        <v>689.63210000000004</v>
      </c>
      <c r="K561" s="35">
        <f t="shared" si="254"/>
        <v>689.63210000000004</v>
      </c>
      <c r="L561" s="35">
        <f t="shared" si="250"/>
        <v>100</v>
      </c>
      <c r="M561" s="35">
        <f t="shared" si="252"/>
        <v>100</v>
      </c>
    </row>
    <row r="562" spans="1:13" ht="25.5">
      <c r="A562" s="59" t="s">
        <v>80</v>
      </c>
      <c r="B562" s="28" t="s">
        <v>283</v>
      </c>
      <c r="C562" s="28" t="s">
        <v>46</v>
      </c>
      <c r="D562" s="28" t="s">
        <v>17</v>
      </c>
      <c r="E562" s="29" t="s">
        <v>1119</v>
      </c>
      <c r="F562" s="28" t="s">
        <v>81</v>
      </c>
      <c r="G562" s="35"/>
      <c r="H562" s="35">
        <f>H563</f>
        <v>689.63210000000004</v>
      </c>
      <c r="I562" s="35">
        <f t="shared" si="254"/>
        <v>689.63210000000004</v>
      </c>
      <c r="J562" s="35">
        <f t="shared" si="254"/>
        <v>689.63210000000004</v>
      </c>
      <c r="K562" s="35">
        <f t="shared" si="254"/>
        <v>689.63210000000004</v>
      </c>
      <c r="L562" s="35">
        <f t="shared" si="250"/>
        <v>100</v>
      </c>
      <c r="M562" s="35">
        <f t="shared" si="252"/>
        <v>100</v>
      </c>
    </row>
    <row r="563" spans="1:13">
      <c r="A563" s="59" t="s">
        <v>271</v>
      </c>
      <c r="B563" s="28" t="s">
        <v>283</v>
      </c>
      <c r="C563" s="28" t="s">
        <v>46</v>
      </c>
      <c r="D563" s="28" t="s">
        <v>17</v>
      </c>
      <c r="E563" s="29" t="s">
        <v>1119</v>
      </c>
      <c r="F563" s="28" t="s">
        <v>272</v>
      </c>
      <c r="G563" s="35"/>
      <c r="H563" s="35">
        <v>689.63210000000004</v>
      </c>
      <c r="I563" s="35">
        <v>689.63210000000004</v>
      </c>
      <c r="J563" s="35">
        <v>689.63210000000004</v>
      </c>
      <c r="K563" s="35">
        <v>689.63210000000004</v>
      </c>
      <c r="L563" s="35">
        <f t="shared" si="250"/>
        <v>100</v>
      </c>
      <c r="M563" s="35">
        <f t="shared" si="252"/>
        <v>100</v>
      </c>
    </row>
    <row r="564" spans="1:13">
      <c r="A564" s="59" t="s">
        <v>305</v>
      </c>
      <c r="B564" s="28" t="s">
        <v>283</v>
      </c>
      <c r="C564" s="28" t="s">
        <v>46</v>
      </c>
      <c r="D564" s="28" t="s">
        <v>106</v>
      </c>
      <c r="E564" s="58" t="s">
        <v>0</v>
      </c>
      <c r="F564" s="58" t="s">
        <v>0</v>
      </c>
      <c r="G564" s="35">
        <f>G565</f>
        <v>854900.29999999993</v>
      </c>
      <c r="H564" s="35">
        <f>H565+H603+H607</f>
        <v>1197050.4431399999</v>
      </c>
      <c r="I564" s="35">
        <f>I565+I603</f>
        <v>954775.95267999987</v>
      </c>
      <c r="J564" s="35">
        <f>J565+J603</f>
        <v>954775.95267999987</v>
      </c>
      <c r="K564" s="35">
        <f>K565+K603</f>
        <v>954775.95267999987</v>
      </c>
      <c r="L564" s="35">
        <f t="shared" si="250"/>
        <v>79.760711685258116</v>
      </c>
      <c r="M564" s="35">
        <f t="shared" si="252"/>
        <v>100</v>
      </c>
    </row>
    <row r="565" spans="1:13" ht="38.25">
      <c r="A565" s="59" t="s">
        <v>136</v>
      </c>
      <c r="B565" s="28" t="s">
        <v>283</v>
      </c>
      <c r="C565" s="28" t="s">
        <v>46</v>
      </c>
      <c r="D565" s="28" t="s">
        <v>106</v>
      </c>
      <c r="E565" s="28" t="s">
        <v>137</v>
      </c>
      <c r="F565" s="58" t="s">
        <v>0</v>
      </c>
      <c r="G565" s="35">
        <f>G566+G576+G586</f>
        <v>854900.29999999993</v>
      </c>
      <c r="H565" s="35">
        <f>H566+H576+H586</f>
        <v>1196354.4661399999</v>
      </c>
      <c r="I565" s="35">
        <f>I566+I576+I586</f>
        <v>954079.97567999992</v>
      </c>
      <c r="J565" s="35">
        <f>J566+J576+J586</f>
        <v>954079.97567999992</v>
      </c>
      <c r="K565" s="35">
        <f>K566+K576+K586</f>
        <v>954079.97567999992</v>
      </c>
      <c r="L565" s="35">
        <f t="shared" si="250"/>
        <v>79.748937516680058</v>
      </c>
      <c r="M565" s="35">
        <f t="shared" si="252"/>
        <v>100</v>
      </c>
    </row>
    <row r="566" spans="1:13" ht="38.25">
      <c r="A566" s="59" t="s">
        <v>306</v>
      </c>
      <c r="B566" s="28" t="s">
        <v>283</v>
      </c>
      <c r="C566" s="28" t="s">
        <v>46</v>
      </c>
      <c r="D566" s="28" t="s">
        <v>106</v>
      </c>
      <c r="E566" s="28" t="s">
        <v>307</v>
      </c>
      <c r="F566" s="58" t="s">
        <v>0</v>
      </c>
      <c r="G566" s="35">
        <f>G570</f>
        <v>64993.2</v>
      </c>
      <c r="H566" s="35">
        <f>H570+H567+H573</f>
        <v>72816.81614000001</v>
      </c>
      <c r="I566" s="35">
        <f t="shared" ref="I566:K566" si="255">I570+I567+I573</f>
        <v>41289.5</v>
      </c>
      <c r="J566" s="35">
        <f t="shared" si="255"/>
        <v>41289.5</v>
      </c>
      <c r="K566" s="35">
        <f t="shared" si="255"/>
        <v>41289.5</v>
      </c>
      <c r="L566" s="35">
        <f t="shared" si="250"/>
        <v>56.703248217575798</v>
      </c>
      <c r="M566" s="35">
        <f t="shared" si="252"/>
        <v>100</v>
      </c>
    </row>
    <row r="567" spans="1:13" s="91" customFormat="1" ht="47.25" customHeight="1">
      <c r="A567" s="59" t="s">
        <v>291</v>
      </c>
      <c r="B567" s="28" t="s">
        <v>283</v>
      </c>
      <c r="C567" s="28" t="s">
        <v>46</v>
      </c>
      <c r="D567" s="28" t="s">
        <v>106</v>
      </c>
      <c r="E567" s="29" t="s">
        <v>1258</v>
      </c>
      <c r="F567" s="58"/>
      <c r="G567" s="35"/>
      <c r="H567" s="35">
        <f>H568</f>
        <v>6502.1</v>
      </c>
      <c r="I567" s="35">
        <f t="shared" ref="I567:K568" si="256">I568</f>
        <v>0</v>
      </c>
      <c r="J567" s="35">
        <f t="shared" si="256"/>
        <v>0</v>
      </c>
      <c r="K567" s="35">
        <f t="shared" si="256"/>
        <v>0</v>
      </c>
      <c r="L567" s="35">
        <f t="shared" si="250"/>
        <v>0</v>
      </c>
      <c r="M567" s="35">
        <v>0</v>
      </c>
    </row>
    <row r="568" spans="1:13" s="91" customFormat="1" ht="25.5">
      <c r="A568" s="59" t="s">
        <v>80</v>
      </c>
      <c r="B568" s="28" t="s">
        <v>283</v>
      </c>
      <c r="C568" s="28" t="s">
        <v>46</v>
      </c>
      <c r="D568" s="28" t="s">
        <v>106</v>
      </c>
      <c r="E568" s="29" t="s">
        <v>1258</v>
      </c>
      <c r="F568" s="28" t="s">
        <v>81</v>
      </c>
      <c r="G568" s="35"/>
      <c r="H568" s="35">
        <f>H569</f>
        <v>6502.1</v>
      </c>
      <c r="I568" s="35">
        <f t="shared" si="256"/>
        <v>0</v>
      </c>
      <c r="J568" s="35">
        <f t="shared" si="256"/>
        <v>0</v>
      </c>
      <c r="K568" s="35">
        <f t="shared" si="256"/>
        <v>0</v>
      </c>
      <c r="L568" s="35">
        <f t="shared" si="250"/>
        <v>0</v>
      </c>
      <c r="M568" s="35">
        <v>0</v>
      </c>
    </row>
    <row r="569" spans="1:13" s="91" customFormat="1">
      <c r="A569" s="59" t="s">
        <v>271</v>
      </c>
      <c r="B569" s="28" t="s">
        <v>283</v>
      </c>
      <c r="C569" s="28" t="s">
        <v>46</v>
      </c>
      <c r="D569" s="28" t="s">
        <v>106</v>
      </c>
      <c r="E569" s="29" t="s">
        <v>1258</v>
      </c>
      <c r="F569" s="28" t="s">
        <v>272</v>
      </c>
      <c r="G569" s="35"/>
      <c r="H569" s="35">
        <v>6502.1</v>
      </c>
      <c r="I569" s="35">
        <v>0</v>
      </c>
      <c r="J569" s="35">
        <v>0</v>
      </c>
      <c r="K569" s="35">
        <v>0</v>
      </c>
      <c r="L569" s="35">
        <f t="shared" si="250"/>
        <v>0</v>
      </c>
      <c r="M569" s="35">
        <v>0</v>
      </c>
    </row>
    <row r="570" spans="1:13" ht="25.5">
      <c r="A570" s="59" t="s">
        <v>76</v>
      </c>
      <c r="B570" s="28" t="s">
        <v>283</v>
      </c>
      <c r="C570" s="28" t="s">
        <v>46</v>
      </c>
      <c r="D570" s="28" t="s">
        <v>106</v>
      </c>
      <c r="E570" s="28" t="s">
        <v>308</v>
      </c>
      <c r="F570" s="58" t="s">
        <v>0</v>
      </c>
      <c r="G570" s="35">
        <f>G571</f>
        <v>64993.2</v>
      </c>
      <c r="H570" s="35">
        <f t="shared" ref="H570:K571" si="257">H571</f>
        <v>64993.2</v>
      </c>
      <c r="I570" s="35">
        <f t="shared" si="257"/>
        <v>41289.5</v>
      </c>
      <c r="J570" s="35">
        <f t="shared" si="257"/>
        <v>41289.5</v>
      </c>
      <c r="K570" s="35">
        <f t="shared" si="257"/>
        <v>41289.5</v>
      </c>
      <c r="L570" s="35">
        <f t="shared" si="250"/>
        <v>63.528953798243514</v>
      </c>
      <c r="M570" s="35">
        <f t="shared" si="252"/>
        <v>100</v>
      </c>
    </row>
    <row r="571" spans="1:13" ht="25.5">
      <c r="A571" s="59" t="s">
        <v>80</v>
      </c>
      <c r="B571" s="28" t="s">
        <v>283</v>
      </c>
      <c r="C571" s="28" t="s">
        <v>46</v>
      </c>
      <c r="D571" s="28" t="s">
        <v>106</v>
      </c>
      <c r="E571" s="28" t="s">
        <v>308</v>
      </c>
      <c r="F571" s="28" t="s">
        <v>81</v>
      </c>
      <c r="G571" s="35">
        <f>G572</f>
        <v>64993.2</v>
      </c>
      <c r="H571" s="35">
        <f t="shared" si="257"/>
        <v>64993.2</v>
      </c>
      <c r="I571" s="35">
        <f t="shared" si="257"/>
        <v>41289.5</v>
      </c>
      <c r="J571" s="35">
        <f t="shared" si="257"/>
        <v>41289.5</v>
      </c>
      <c r="K571" s="35">
        <f t="shared" si="257"/>
        <v>41289.5</v>
      </c>
      <c r="L571" s="35">
        <f t="shared" si="250"/>
        <v>63.528953798243514</v>
      </c>
      <c r="M571" s="35">
        <f t="shared" si="252"/>
        <v>100</v>
      </c>
    </row>
    <row r="572" spans="1:13">
      <c r="A572" s="59" t="s">
        <v>271</v>
      </c>
      <c r="B572" s="28" t="s">
        <v>283</v>
      </c>
      <c r="C572" s="28" t="s">
        <v>46</v>
      </c>
      <c r="D572" s="28" t="s">
        <v>106</v>
      </c>
      <c r="E572" s="28" t="s">
        <v>308</v>
      </c>
      <c r="F572" s="28" t="s">
        <v>272</v>
      </c>
      <c r="G572" s="35">
        <v>64993.2</v>
      </c>
      <c r="H572" s="36">
        <v>64993.2</v>
      </c>
      <c r="I572" s="35">
        <v>41289.5</v>
      </c>
      <c r="J572" s="35">
        <v>41289.5</v>
      </c>
      <c r="K572" s="35">
        <v>41289.5</v>
      </c>
      <c r="L572" s="35">
        <f t="shared" si="250"/>
        <v>63.528953798243514</v>
      </c>
      <c r="M572" s="35">
        <f t="shared" si="252"/>
        <v>100</v>
      </c>
    </row>
    <row r="573" spans="1:13" s="91" customFormat="1" ht="45.75" customHeight="1">
      <c r="A573" s="59" t="s">
        <v>1234</v>
      </c>
      <c r="B573" s="28" t="s">
        <v>283</v>
      </c>
      <c r="C573" s="28" t="s">
        <v>46</v>
      </c>
      <c r="D573" s="28" t="s">
        <v>106</v>
      </c>
      <c r="E573" s="29" t="s">
        <v>1259</v>
      </c>
      <c r="F573" s="28"/>
      <c r="G573" s="35"/>
      <c r="H573" s="36">
        <f>H574</f>
        <v>1321.51614</v>
      </c>
      <c r="I573" s="36">
        <f t="shared" ref="I573:K574" si="258">I574</f>
        <v>0</v>
      </c>
      <c r="J573" s="36">
        <f t="shared" si="258"/>
        <v>0</v>
      </c>
      <c r="K573" s="36">
        <f t="shared" si="258"/>
        <v>0</v>
      </c>
      <c r="L573" s="35">
        <f t="shared" si="250"/>
        <v>0</v>
      </c>
      <c r="M573" s="35">
        <v>0</v>
      </c>
    </row>
    <row r="574" spans="1:13" s="91" customFormat="1" ht="25.5">
      <c r="A574" s="59" t="s">
        <v>80</v>
      </c>
      <c r="B574" s="28" t="s">
        <v>283</v>
      </c>
      <c r="C574" s="28" t="s">
        <v>46</v>
      </c>
      <c r="D574" s="28" t="s">
        <v>106</v>
      </c>
      <c r="E574" s="29" t="s">
        <v>1259</v>
      </c>
      <c r="F574" s="28" t="s">
        <v>81</v>
      </c>
      <c r="G574" s="35"/>
      <c r="H574" s="36">
        <f>H575</f>
        <v>1321.51614</v>
      </c>
      <c r="I574" s="36">
        <f t="shared" si="258"/>
        <v>0</v>
      </c>
      <c r="J574" s="36">
        <f t="shared" si="258"/>
        <v>0</v>
      </c>
      <c r="K574" s="36">
        <f t="shared" si="258"/>
        <v>0</v>
      </c>
      <c r="L574" s="35">
        <f t="shared" si="250"/>
        <v>0</v>
      </c>
      <c r="M574" s="35">
        <v>0</v>
      </c>
    </row>
    <row r="575" spans="1:13" s="91" customFormat="1">
      <c r="A575" s="59" t="s">
        <v>271</v>
      </c>
      <c r="B575" s="28" t="s">
        <v>283</v>
      </c>
      <c r="C575" s="28" t="s">
        <v>46</v>
      </c>
      <c r="D575" s="28" t="s">
        <v>106</v>
      </c>
      <c r="E575" s="29" t="s">
        <v>1259</v>
      </c>
      <c r="F575" s="28" t="s">
        <v>272</v>
      </c>
      <c r="G575" s="35"/>
      <c r="H575" s="36">
        <v>1321.51614</v>
      </c>
      <c r="I575" s="35">
        <v>0</v>
      </c>
      <c r="J575" s="35">
        <v>0</v>
      </c>
      <c r="K575" s="35">
        <v>0</v>
      </c>
      <c r="L575" s="35">
        <f t="shared" si="250"/>
        <v>0</v>
      </c>
      <c r="M575" s="35">
        <v>0</v>
      </c>
    </row>
    <row r="576" spans="1:13" ht="63.75">
      <c r="A576" s="59" t="s">
        <v>289</v>
      </c>
      <c r="B576" s="28" t="s">
        <v>283</v>
      </c>
      <c r="C576" s="28" t="s">
        <v>46</v>
      </c>
      <c r="D576" s="28" t="s">
        <v>106</v>
      </c>
      <c r="E576" s="28" t="s">
        <v>290</v>
      </c>
      <c r="F576" s="58" t="s">
        <v>0</v>
      </c>
      <c r="G576" s="35">
        <f>G580+G577+G583</f>
        <v>116823.40000000001</v>
      </c>
      <c r="H576" s="35">
        <f t="shared" ref="H576:K576" si="259">H580+H577+H583</f>
        <v>108999.8</v>
      </c>
      <c r="I576" s="35">
        <f t="shared" si="259"/>
        <v>78809.5</v>
      </c>
      <c r="J576" s="35">
        <f t="shared" si="259"/>
        <v>78809.5</v>
      </c>
      <c r="K576" s="35">
        <f t="shared" si="259"/>
        <v>78809.5</v>
      </c>
      <c r="L576" s="35">
        <f t="shared" si="250"/>
        <v>72.302426242983927</v>
      </c>
      <c r="M576" s="35">
        <f t="shared" si="252"/>
        <v>100</v>
      </c>
    </row>
    <row r="577" spans="1:13" s="88" customFormat="1" ht="38.25">
      <c r="A577" s="62" t="s">
        <v>291</v>
      </c>
      <c r="B577" s="28" t="s">
        <v>283</v>
      </c>
      <c r="C577" s="28" t="s">
        <v>46</v>
      </c>
      <c r="D577" s="28" t="s">
        <v>106</v>
      </c>
      <c r="E577" s="29" t="s">
        <v>292</v>
      </c>
      <c r="F577" s="58"/>
      <c r="G577" s="35">
        <f>G578</f>
        <v>6502.1</v>
      </c>
      <c r="H577" s="35">
        <f t="shared" ref="H577:K578" si="260">H578</f>
        <v>0</v>
      </c>
      <c r="I577" s="35">
        <f t="shared" si="260"/>
        <v>0</v>
      </c>
      <c r="J577" s="35">
        <f t="shared" si="260"/>
        <v>0</v>
      </c>
      <c r="K577" s="35">
        <f t="shared" si="260"/>
        <v>0</v>
      </c>
      <c r="L577" s="35">
        <v>0</v>
      </c>
      <c r="M577" s="35">
        <v>0</v>
      </c>
    </row>
    <row r="578" spans="1:13" s="88" customFormat="1" ht="25.5">
      <c r="A578" s="59" t="s">
        <v>80</v>
      </c>
      <c r="B578" s="28" t="s">
        <v>283</v>
      </c>
      <c r="C578" s="28" t="s">
        <v>46</v>
      </c>
      <c r="D578" s="28" t="s">
        <v>106</v>
      </c>
      <c r="E578" s="29" t="s">
        <v>292</v>
      </c>
      <c r="F578" s="28">
        <v>600</v>
      </c>
      <c r="G578" s="35">
        <f>G579</f>
        <v>6502.1</v>
      </c>
      <c r="H578" s="35">
        <f t="shared" si="260"/>
        <v>0</v>
      </c>
      <c r="I578" s="35">
        <f t="shared" si="260"/>
        <v>0</v>
      </c>
      <c r="J578" s="35">
        <f t="shared" si="260"/>
        <v>0</v>
      </c>
      <c r="K578" s="35">
        <f t="shared" si="260"/>
        <v>0</v>
      </c>
      <c r="L578" s="35">
        <v>0</v>
      </c>
      <c r="M578" s="35">
        <v>0</v>
      </c>
    </row>
    <row r="579" spans="1:13" s="88" customFormat="1">
      <c r="A579" s="59" t="s">
        <v>271</v>
      </c>
      <c r="B579" s="28" t="s">
        <v>283</v>
      </c>
      <c r="C579" s="28" t="s">
        <v>46</v>
      </c>
      <c r="D579" s="28" t="s">
        <v>106</v>
      </c>
      <c r="E579" s="29" t="s">
        <v>292</v>
      </c>
      <c r="F579" s="28">
        <v>610</v>
      </c>
      <c r="G579" s="35">
        <v>6502.1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  <c r="M579" s="35">
        <v>0</v>
      </c>
    </row>
    <row r="580" spans="1:13" ht="25.5">
      <c r="A580" s="59" t="s">
        <v>76</v>
      </c>
      <c r="B580" s="28" t="s">
        <v>283</v>
      </c>
      <c r="C580" s="28" t="s">
        <v>46</v>
      </c>
      <c r="D580" s="28" t="s">
        <v>106</v>
      </c>
      <c r="E580" s="28" t="s">
        <v>293</v>
      </c>
      <c r="F580" s="58" t="s">
        <v>0</v>
      </c>
      <c r="G580" s="35">
        <f>G581</f>
        <v>108999.8</v>
      </c>
      <c r="H580" s="35">
        <f t="shared" ref="H580:K580" si="261">H581</f>
        <v>108999.8</v>
      </c>
      <c r="I580" s="35">
        <f t="shared" si="261"/>
        <v>78809.5</v>
      </c>
      <c r="J580" s="35">
        <f t="shared" si="261"/>
        <v>78809.5</v>
      </c>
      <c r="K580" s="35">
        <f t="shared" si="261"/>
        <v>78809.5</v>
      </c>
      <c r="L580" s="35">
        <f t="shared" si="250"/>
        <v>72.302426242983927</v>
      </c>
      <c r="M580" s="35">
        <f t="shared" si="252"/>
        <v>100</v>
      </c>
    </row>
    <row r="581" spans="1:13" ht="25.5">
      <c r="A581" s="59" t="s">
        <v>80</v>
      </c>
      <c r="B581" s="28" t="s">
        <v>283</v>
      </c>
      <c r="C581" s="28" t="s">
        <v>46</v>
      </c>
      <c r="D581" s="28" t="s">
        <v>106</v>
      </c>
      <c r="E581" s="28" t="s">
        <v>293</v>
      </c>
      <c r="F581" s="28" t="s">
        <v>81</v>
      </c>
      <c r="G581" s="35">
        <f>G582</f>
        <v>108999.8</v>
      </c>
      <c r="H581" s="35">
        <f>H582</f>
        <v>108999.8</v>
      </c>
      <c r="I581" s="35">
        <f>I582</f>
        <v>78809.5</v>
      </c>
      <c r="J581" s="35">
        <f>J582</f>
        <v>78809.5</v>
      </c>
      <c r="K581" s="35">
        <f>K582</f>
        <v>78809.5</v>
      </c>
      <c r="L581" s="35">
        <f t="shared" si="250"/>
        <v>72.302426242983927</v>
      </c>
      <c r="M581" s="35">
        <f t="shared" si="252"/>
        <v>100</v>
      </c>
    </row>
    <row r="582" spans="1:13">
      <c r="A582" s="59" t="s">
        <v>271</v>
      </c>
      <c r="B582" s="28" t="s">
        <v>283</v>
      </c>
      <c r="C582" s="28" t="s">
        <v>46</v>
      </c>
      <c r="D582" s="28" t="s">
        <v>106</v>
      </c>
      <c r="E582" s="28" t="s">
        <v>293</v>
      </c>
      <c r="F582" s="28" t="s">
        <v>272</v>
      </c>
      <c r="G582" s="35">
        <v>108999.8</v>
      </c>
      <c r="H582" s="35">
        <v>108999.8</v>
      </c>
      <c r="I582" s="35">
        <v>78809.5</v>
      </c>
      <c r="J582" s="35">
        <v>78809.5</v>
      </c>
      <c r="K582" s="35">
        <v>78809.5</v>
      </c>
      <c r="L582" s="35">
        <f t="shared" si="250"/>
        <v>72.302426242983927</v>
      </c>
      <c r="M582" s="35">
        <f t="shared" si="252"/>
        <v>100</v>
      </c>
    </row>
    <row r="583" spans="1:13" s="88" customFormat="1" ht="38.25">
      <c r="A583" s="62" t="s">
        <v>1234</v>
      </c>
      <c r="B583" s="28" t="s">
        <v>283</v>
      </c>
      <c r="C583" s="28" t="s">
        <v>46</v>
      </c>
      <c r="D583" s="28" t="s">
        <v>106</v>
      </c>
      <c r="E583" s="29" t="s">
        <v>1233</v>
      </c>
      <c r="F583" s="28"/>
      <c r="G583" s="35">
        <f>G584</f>
        <v>1321.5</v>
      </c>
      <c r="H583" s="35">
        <f t="shared" ref="H583:K584" si="262">H584</f>
        <v>0</v>
      </c>
      <c r="I583" s="35">
        <f t="shared" si="262"/>
        <v>0</v>
      </c>
      <c r="J583" s="35">
        <f t="shared" si="262"/>
        <v>0</v>
      </c>
      <c r="K583" s="35">
        <f t="shared" si="262"/>
        <v>0</v>
      </c>
      <c r="L583" s="35">
        <v>0</v>
      </c>
      <c r="M583" s="35">
        <v>0</v>
      </c>
    </row>
    <row r="584" spans="1:13" s="88" customFormat="1" ht="25.5">
      <c r="A584" s="59" t="s">
        <v>80</v>
      </c>
      <c r="B584" s="28" t="s">
        <v>283</v>
      </c>
      <c r="C584" s="28" t="s">
        <v>46</v>
      </c>
      <c r="D584" s="28" t="s">
        <v>106</v>
      </c>
      <c r="E584" s="29" t="s">
        <v>1233</v>
      </c>
      <c r="F584" s="28">
        <v>600</v>
      </c>
      <c r="G584" s="35">
        <f>G585</f>
        <v>1321.5</v>
      </c>
      <c r="H584" s="35">
        <f t="shared" si="262"/>
        <v>0</v>
      </c>
      <c r="I584" s="35">
        <f t="shared" si="262"/>
        <v>0</v>
      </c>
      <c r="J584" s="35">
        <f t="shared" si="262"/>
        <v>0</v>
      </c>
      <c r="K584" s="35">
        <f t="shared" si="262"/>
        <v>0</v>
      </c>
      <c r="L584" s="35">
        <v>0</v>
      </c>
      <c r="M584" s="35">
        <v>0</v>
      </c>
    </row>
    <row r="585" spans="1:13" s="88" customFormat="1">
      <c r="A585" s="59" t="s">
        <v>271</v>
      </c>
      <c r="B585" s="28" t="s">
        <v>283</v>
      </c>
      <c r="C585" s="28" t="s">
        <v>46</v>
      </c>
      <c r="D585" s="28" t="s">
        <v>106</v>
      </c>
      <c r="E585" s="29" t="s">
        <v>1233</v>
      </c>
      <c r="F585" s="28">
        <v>610</v>
      </c>
      <c r="G585" s="35">
        <v>1321.5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</row>
    <row r="586" spans="1:13" ht="38.25">
      <c r="A586" s="59" t="s">
        <v>309</v>
      </c>
      <c r="B586" s="28" t="s">
        <v>283</v>
      </c>
      <c r="C586" s="28" t="s">
        <v>46</v>
      </c>
      <c r="D586" s="28" t="s">
        <v>106</v>
      </c>
      <c r="E586" s="28" t="s">
        <v>310</v>
      </c>
      <c r="F586" s="58" t="s">
        <v>0</v>
      </c>
      <c r="G586" s="35">
        <f>G587+G598</f>
        <v>673083.7</v>
      </c>
      <c r="H586" s="35">
        <f>H587+H598+H592+H595</f>
        <v>1014537.85</v>
      </c>
      <c r="I586" s="35">
        <f t="shared" ref="I586:K586" si="263">I587+I598+I592+I595</f>
        <v>833980.97567999992</v>
      </c>
      <c r="J586" s="35">
        <f t="shared" si="263"/>
        <v>833980.97567999992</v>
      </c>
      <c r="K586" s="35">
        <f t="shared" si="263"/>
        <v>833980.97567999992</v>
      </c>
      <c r="L586" s="35">
        <f t="shared" si="250"/>
        <v>82.203042072801907</v>
      </c>
      <c r="M586" s="35">
        <f t="shared" si="252"/>
        <v>100</v>
      </c>
    </row>
    <row r="587" spans="1:13" ht="25.5">
      <c r="A587" s="59" t="s">
        <v>311</v>
      </c>
      <c r="B587" s="28" t="s">
        <v>283</v>
      </c>
      <c r="C587" s="28" t="s">
        <v>46</v>
      </c>
      <c r="D587" s="28" t="s">
        <v>106</v>
      </c>
      <c r="E587" s="28" t="s">
        <v>312</v>
      </c>
      <c r="F587" s="58" t="s">
        <v>0</v>
      </c>
      <c r="G587" s="35">
        <f>G588+G590</f>
        <v>145183.1</v>
      </c>
      <c r="H587" s="35">
        <f t="shared" ref="H587:K587" si="264">H588+H590</f>
        <v>145183.1</v>
      </c>
      <c r="I587" s="35">
        <f t="shared" si="264"/>
        <v>130664.79999999999</v>
      </c>
      <c r="J587" s="35">
        <f t="shared" si="264"/>
        <v>130664.79999999999</v>
      </c>
      <c r="K587" s="35">
        <f t="shared" si="264"/>
        <v>130664.79999999999</v>
      </c>
      <c r="L587" s="35">
        <f t="shared" si="250"/>
        <v>90.000006887854013</v>
      </c>
      <c r="M587" s="35">
        <f t="shared" si="252"/>
        <v>100</v>
      </c>
    </row>
    <row r="588" spans="1:13" ht="25.5">
      <c r="A588" s="59" t="s">
        <v>64</v>
      </c>
      <c r="B588" s="28" t="s">
        <v>283</v>
      </c>
      <c r="C588" s="28" t="s">
        <v>46</v>
      </c>
      <c r="D588" s="28" t="s">
        <v>106</v>
      </c>
      <c r="E588" s="28" t="s">
        <v>312</v>
      </c>
      <c r="F588" s="28" t="s">
        <v>65</v>
      </c>
      <c r="G588" s="35">
        <f>G589</f>
        <v>5635.4</v>
      </c>
      <c r="H588" s="35">
        <f t="shared" ref="H588:K588" si="265">H589</f>
        <v>5635.3727500000005</v>
      </c>
      <c r="I588" s="35">
        <f t="shared" si="265"/>
        <v>1032.16165</v>
      </c>
      <c r="J588" s="35">
        <f t="shared" si="265"/>
        <v>1032.16165</v>
      </c>
      <c r="K588" s="35">
        <f t="shared" si="265"/>
        <v>1032.16165</v>
      </c>
      <c r="L588" s="35">
        <f t="shared" si="250"/>
        <v>18.315765359088267</v>
      </c>
      <c r="M588" s="35">
        <f t="shared" si="252"/>
        <v>100</v>
      </c>
    </row>
    <row r="589" spans="1:13" ht="25.5">
      <c r="A589" s="59" t="s">
        <v>66</v>
      </c>
      <c r="B589" s="28" t="s">
        <v>283</v>
      </c>
      <c r="C589" s="28" t="s">
        <v>46</v>
      </c>
      <c r="D589" s="28" t="s">
        <v>106</v>
      </c>
      <c r="E589" s="28" t="s">
        <v>312</v>
      </c>
      <c r="F589" s="28" t="s">
        <v>67</v>
      </c>
      <c r="G589" s="35">
        <v>5635.4</v>
      </c>
      <c r="H589" s="35">
        <v>5635.3727500000005</v>
      </c>
      <c r="I589" s="35">
        <v>1032.16165</v>
      </c>
      <c r="J589" s="35">
        <v>1032.16165</v>
      </c>
      <c r="K589" s="35">
        <v>1032.16165</v>
      </c>
      <c r="L589" s="35">
        <f t="shared" si="250"/>
        <v>18.315765359088267</v>
      </c>
      <c r="M589" s="35">
        <f t="shared" si="252"/>
        <v>100</v>
      </c>
    </row>
    <row r="590" spans="1:13">
      <c r="A590" s="59" t="s">
        <v>68</v>
      </c>
      <c r="B590" s="28" t="s">
        <v>283</v>
      </c>
      <c r="C590" s="28" t="s">
        <v>46</v>
      </c>
      <c r="D590" s="28" t="s">
        <v>106</v>
      </c>
      <c r="E590" s="28" t="s">
        <v>312</v>
      </c>
      <c r="F590" s="28" t="s">
        <v>69</v>
      </c>
      <c r="G590" s="63">
        <f>G591</f>
        <v>139547.70000000001</v>
      </c>
      <c r="H590" s="63">
        <f t="shared" ref="H590:K590" si="266">H591</f>
        <v>139547.72725</v>
      </c>
      <c r="I590" s="63">
        <f t="shared" si="266"/>
        <v>129632.63834999999</v>
      </c>
      <c r="J590" s="63">
        <f t="shared" si="266"/>
        <v>129632.63834999999</v>
      </c>
      <c r="K590" s="63">
        <f t="shared" si="266"/>
        <v>129632.63834999999</v>
      </c>
      <c r="L590" s="35">
        <f t="shared" si="250"/>
        <v>92.894840284831645</v>
      </c>
      <c r="M590" s="35">
        <f t="shared" si="252"/>
        <v>100</v>
      </c>
    </row>
    <row r="591" spans="1:13" ht="25.5">
      <c r="A591" s="59" t="s">
        <v>151</v>
      </c>
      <c r="B591" s="28" t="s">
        <v>283</v>
      </c>
      <c r="C591" s="28" t="s">
        <v>46</v>
      </c>
      <c r="D591" s="28" t="s">
        <v>106</v>
      </c>
      <c r="E591" s="28" t="s">
        <v>312</v>
      </c>
      <c r="F591" s="28" t="s">
        <v>152</v>
      </c>
      <c r="G591" s="35">
        <v>139547.70000000001</v>
      </c>
      <c r="H591" s="35">
        <v>139547.72725</v>
      </c>
      <c r="I591" s="35">
        <v>129632.63834999999</v>
      </c>
      <c r="J591" s="35">
        <v>129632.63834999999</v>
      </c>
      <c r="K591" s="35">
        <v>129632.63834999999</v>
      </c>
      <c r="L591" s="35">
        <f t="shared" si="250"/>
        <v>92.894840284831645</v>
      </c>
      <c r="M591" s="35">
        <f t="shared" si="252"/>
        <v>100</v>
      </c>
    </row>
    <row r="592" spans="1:13" ht="90" customHeight="1">
      <c r="A592" s="59" t="s">
        <v>1124</v>
      </c>
      <c r="B592" s="28" t="s">
        <v>283</v>
      </c>
      <c r="C592" s="28" t="s">
        <v>46</v>
      </c>
      <c r="D592" s="28" t="s">
        <v>106</v>
      </c>
      <c r="E592" s="29" t="s">
        <v>1123</v>
      </c>
      <c r="F592" s="28"/>
      <c r="G592" s="35"/>
      <c r="H592" s="35">
        <f>H593</f>
        <v>341321.4</v>
      </c>
      <c r="I592" s="35">
        <f t="shared" ref="I592:K593" si="267">I593</f>
        <v>283901.82387000002</v>
      </c>
      <c r="J592" s="35">
        <f t="shared" si="267"/>
        <v>283901.82387000002</v>
      </c>
      <c r="K592" s="35">
        <f t="shared" si="267"/>
        <v>283901.82387000002</v>
      </c>
      <c r="L592" s="35">
        <f t="shared" si="250"/>
        <v>83.177270417266541</v>
      </c>
      <c r="M592" s="35">
        <f t="shared" si="252"/>
        <v>100</v>
      </c>
    </row>
    <row r="593" spans="1:13">
      <c r="A593" s="59" t="s">
        <v>68</v>
      </c>
      <c r="B593" s="28" t="s">
        <v>283</v>
      </c>
      <c r="C593" s="28" t="s">
        <v>46</v>
      </c>
      <c r="D593" s="28" t="s">
        <v>106</v>
      </c>
      <c r="E593" s="29" t="s">
        <v>1123</v>
      </c>
      <c r="F593" s="28">
        <v>300</v>
      </c>
      <c r="G593" s="35"/>
      <c r="H593" s="35">
        <f>H594</f>
        <v>341321.4</v>
      </c>
      <c r="I593" s="35">
        <f t="shared" si="267"/>
        <v>283901.82387000002</v>
      </c>
      <c r="J593" s="35">
        <f t="shared" si="267"/>
        <v>283901.82387000002</v>
      </c>
      <c r="K593" s="35">
        <f t="shared" si="267"/>
        <v>283901.82387000002</v>
      </c>
      <c r="L593" s="35">
        <f t="shared" si="250"/>
        <v>83.177270417266541</v>
      </c>
      <c r="M593" s="35">
        <f t="shared" si="252"/>
        <v>100</v>
      </c>
    </row>
    <row r="594" spans="1:13" ht="25.5">
      <c r="A594" s="59" t="s">
        <v>151</v>
      </c>
      <c r="B594" s="28" t="s">
        <v>283</v>
      </c>
      <c r="C594" s="28" t="s">
        <v>46</v>
      </c>
      <c r="D594" s="28" t="s">
        <v>106</v>
      </c>
      <c r="E594" s="29" t="s">
        <v>1123</v>
      </c>
      <c r="F594" s="28">
        <v>320</v>
      </c>
      <c r="G594" s="35"/>
      <c r="H594" s="35">
        <v>341321.4</v>
      </c>
      <c r="I594" s="35">
        <v>283901.82387000002</v>
      </c>
      <c r="J594" s="35">
        <v>283901.82387000002</v>
      </c>
      <c r="K594" s="35">
        <v>283901.82387000002</v>
      </c>
      <c r="L594" s="35">
        <f t="shared" si="250"/>
        <v>83.177270417266541</v>
      </c>
      <c r="M594" s="35">
        <f t="shared" si="252"/>
        <v>100</v>
      </c>
    </row>
    <row r="595" spans="1:13" s="91" customFormat="1" ht="25.5">
      <c r="A595" s="59" t="s">
        <v>76</v>
      </c>
      <c r="B595" s="28" t="s">
        <v>283</v>
      </c>
      <c r="C595" s="28" t="s">
        <v>46</v>
      </c>
      <c r="D595" s="28" t="s">
        <v>106</v>
      </c>
      <c r="E595" s="29" t="s">
        <v>1260</v>
      </c>
      <c r="F595" s="28"/>
      <c r="G595" s="35"/>
      <c r="H595" s="35">
        <f>H596</f>
        <v>132.75</v>
      </c>
      <c r="I595" s="35">
        <f t="shared" ref="I595:K596" si="268">I596</f>
        <v>0</v>
      </c>
      <c r="J595" s="35">
        <f t="shared" si="268"/>
        <v>0</v>
      </c>
      <c r="K595" s="35">
        <f t="shared" si="268"/>
        <v>0</v>
      </c>
      <c r="L595" s="35">
        <f t="shared" si="250"/>
        <v>0</v>
      </c>
      <c r="M595" s="35">
        <v>0</v>
      </c>
    </row>
    <row r="596" spans="1:13" s="91" customFormat="1" ht="25.5">
      <c r="A596" s="59" t="s">
        <v>80</v>
      </c>
      <c r="B596" s="28" t="s">
        <v>283</v>
      </c>
      <c r="C596" s="28" t="s">
        <v>46</v>
      </c>
      <c r="D596" s="28" t="s">
        <v>106</v>
      </c>
      <c r="E596" s="29" t="s">
        <v>1260</v>
      </c>
      <c r="F596" s="28">
        <v>600</v>
      </c>
      <c r="G596" s="35"/>
      <c r="H596" s="35">
        <f>H597</f>
        <v>132.75</v>
      </c>
      <c r="I596" s="35">
        <f t="shared" si="268"/>
        <v>0</v>
      </c>
      <c r="J596" s="35">
        <f t="shared" si="268"/>
        <v>0</v>
      </c>
      <c r="K596" s="35">
        <f t="shared" si="268"/>
        <v>0</v>
      </c>
      <c r="L596" s="35">
        <f t="shared" si="250"/>
        <v>0</v>
      </c>
      <c r="M596" s="35">
        <v>0</v>
      </c>
    </row>
    <row r="597" spans="1:13" s="91" customFormat="1">
      <c r="A597" s="59" t="s">
        <v>271</v>
      </c>
      <c r="B597" s="28" t="s">
        <v>283</v>
      </c>
      <c r="C597" s="28" t="s">
        <v>46</v>
      </c>
      <c r="D597" s="28" t="s">
        <v>106</v>
      </c>
      <c r="E597" s="29" t="s">
        <v>1260</v>
      </c>
      <c r="F597" s="28">
        <v>610</v>
      </c>
      <c r="G597" s="35"/>
      <c r="H597" s="35">
        <v>132.75</v>
      </c>
      <c r="I597" s="35">
        <v>0</v>
      </c>
      <c r="J597" s="35">
        <v>0</v>
      </c>
      <c r="K597" s="35">
        <v>0</v>
      </c>
      <c r="L597" s="35">
        <f t="shared" si="250"/>
        <v>0</v>
      </c>
      <c r="M597" s="35">
        <v>0</v>
      </c>
    </row>
    <row r="598" spans="1:13" ht="25.5">
      <c r="A598" s="59" t="s">
        <v>313</v>
      </c>
      <c r="B598" s="28" t="s">
        <v>283</v>
      </c>
      <c r="C598" s="28" t="s">
        <v>46</v>
      </c>
      <c r="D598" s="28" t="s">
        <v>106</v>
      </c>
      <c r="E598" s="28" t="s">
        <v>314</v>
      </c>
      <c r="F598" s="58" t="s">
        <v>0</v>
      </c>
      <c r="G598" s="35">
        <f>G599+G601</f>
        <v>527900.6</v>
      </c>
      <c r="H598" s="35">
        <f t="shared" ref="H598:K598" si="269">H599+H601</f>
        <v>527900.6</v>
      </c>
      <c r="I598" s="35">
        <f t="shared" si="269"/>
        <v>419414.35181000002</v>
      </c>
      <c r="J598" s="35">
        <f t="shared" si="269"/>
        <v>419414.35181000002</v>
      </c>
      <c r="K598" s="35">
        <f t="shared" si="269"/>
        <v>419414.35181000002</v>
      </c>
      <c r="L598" s="35">
        <f t="shared" si="250"/>
        <v>79.449493296654722</v>
      </c>
      <c r="M598" s="35">
        <f t="shared" si="252"/>
        <v>100</v>
      </c>
    </row>
    <row r="599" spans="1:13" ht="25.5">
      <c r="A599" s="59" t="s">
        <v>64</v>
      </c>
      <c r="B599" s="28" t="s">
        <v>283</v>
      </c>
      <c r="C599" s="28" t="s">
        <v>46</v>
      </c>
      <c r="D599" s="28" t="s">
        <v>106</v>
      </c>
      <c r="E599" s="28" t="s">
        <v>314</v>
      </c>
      <c r="F599" s="28" t="s">
        <v>65</v>
      </c>
      <c r="G599" s="35">
        <f>G600</f>
        <v>10236</v>
      </c>
      <c r="H599" s="35">
        <f t="shared" ref="H599:K599" si="270">H600</f>
        <v>10236</v>
      </c>
      <c r="I599" s="35">
        <f t="shared" si="270"/>
        <v>5325.2404900000001</v>
      </c>
      <c r="J599" s="35">
        <f t="shared" si="270"/>
        <v>5325.2404900000001</v>
      </c>
      <c r="K599" s="35">
        <f t="shared" si="270"/>
        <v>5325.2404900000001</v>
      </c>
      <c r="L599" s="35">
        <f t="shared" si="250"/>
        <v>52.024623778819858</v>
      </c>
      <c r="M599" s="35">
        <f t="shared" si="252"/>
        <v>100</v>
      </c>
    </row>
    <row r="600" spans="1:13" ht="25.5">
      <c r="A600" s="59" t="s">
        <v>66</v>
      </c>
      <c r="B600" s="28" t="s">
        <v>283</v>
      </c>
      <c r="C600" s="28" t="s">
        <v>46</v>
      </c>
      <c r="D600" s="28" t="s">
        <v>106</v>
      </c>
      <c r="E600" s="28" t="s">
        <v>314</v>
      </c>
      <c r="F600" s="28" t="s">
        <v>67</v>
      </c>
      <c r="G600" s="35">
        <v>10236</v>
      </c>
      <c r="H600" s="35">
        <v>10236</v>
      </c>
      <c r="I600" s="35">
        <v>5325.2404900000001</v>
      </c>
      <c r="J600" s="35">
        <v>5325.2404900000001</v>
      </c>
      <c r="K600" s="35">
        <v>5325.2404900000001</v>
      </c>
      <c r="L600" s="35">
        <f t="shared" si="250"/>
        <v>52.024623778819858</v>
      </c>
      <c r="M600" s="35">
        <f t="shared" si="252"/>
        <v>100</v>
      </c>
    </row>
    <row r="601" spans="1:13">
      <c r="A601" s="59" t="s">
        <v>68</v>
      </c>
      <c r="B601" s="28" t="s">
        <v>283</v>
      </c>
      <c r="C601" s="28" t="s">
        <v>46</v>
      </c>
      <c r="D601" s="28" t="s">
        <v>106</v>
      </c>
      <c r="E601" s="28" t="s">
        <v>314</v>
      </c>
      <c r="F601" s="28" t="s">
        <v>69</v>
      </c>
      <c r="G601" s="35">
        <f>G602</f>
        <v>517664.6</v>
      </c>
      <c r="H601" s="35">
        <f t="shared" ref="H601:K601" si="271">H602</f>
        <v>517664.6</v>
      </c>
      <c r="I601" s="35">
        <f t="shared" si="271"/>
        <v>414089.11132000003</v>
      </c>
      <c r="J601" s="35">
        <f t="shared" si="271"/>
        <v>414089.11132000003</v>
      </c>
      <c r="K601" s="35">
        <f t="shared" si="271"/>
        <v>414089.11132000003</v>
      </c>
      <c r="L601" s="35">
        <f t="shared" si="250"/>
        <v>79.991776783654913</v>
      </c>
      <c r="M601" s="35">
        <f t="shared" si="252"/>
        <v>100</v>
      </c>
    </row>
    <row r="602" spans="1:13" ht="25.5">
      <c r="A602" s="59" t="s">
        <v>151</v>
      </c>
      <c r="B602" s="28" t="s">
        <v>283</v>
      </c>
      <c r="C602" s="28" t="s">
        <v>46</v>
      </c>
      <c r="D602" s="28" t="s">
        <v>106</v>
      </c>
      <c r="E602" s="28" t="s">
        <v>314</v>
      </c>
      <c r="F602" s="28" t="s">
        <v>152</v>
      </c>
      <c r="G602" s="35">
        <v>517664.6</v>
      </c>
      <c r="H602" s="35">
        <v>517664.6</v>
      </c>
      <c r="I602" s="35">
        <v>414089.11132000003</v>
      </c>
      <c r="J602" s="35">
        <v>414089.11132000003</v>
      </c>
      <c r="K602" s="35">
        <v>414089.11132000003</v>
      </c>
      <c r="L602" s="35">
        <f t="shared" si="250"/>
        <v>79.991776783654913</v>
      </c>
      <c r="M602" s="35">
        <f t="shared" si="252"/>
        <v>100</v>
      </c>
    </row>
    <row r="603" spans="1:13">
      <c r="A603" s="62" t="s">
        <v>612</v>
      </c>
      <c r="B603" s="28" t="s">
        <v>283</v>
      </c>
      <c r="C603" s="28" t="s">
        <v>46</v>
      </c>
      <c r="D603" s="28" t="s">
        <v>106</v>
      </c>
      <c r="E603" s="29" t="s">
        <v>613</v>
      </c>
      <c r="F603" s="28"/>
      <c r="G603" s="35"/>
      <c r="H603" s="35">
        <f>H604</f>
        <v>665.4</v>
      </c>
      <c r="I603" s="35">
        <f>I604+I607</f>
        <v>695.97699999999998</v>
      </c>
      <c r="J603" s="35">
        <f t="shared" ref="J603:K603" si="272">J604+J607</f>
        <v>695.97699999999998</v>
      </c>
      <c r="K603" s="35">
        <f t="shared" si="272"/>
        <v>695.97699999999998</v>
      </c>
      <c r="L603" s="35">
        <f t="shared" si="250"/>
        <v>104.59528103396454</v>
      </c>
      <c r="M603" s="35">
        <f t="shared" si="252"/>
        <v>100</v>
      </c>
    </row>
    <row r="604" spans="1:13">
      <c r="A604" s="59" t="s">
        <v>612</v>
      </c>
      <c r="B604" s="28" t="s">
        <v>283</v>
      </c>
      <c r="C604" s="28" t="s">
        <v>46</v>
      </c>
      <c r="D604" s="28" t="s">
        <v>106</v>
      </c>
      <c r="E604" s="29" t="s">
        <v>614</v>
      </c>
      <c r="F604" s="28"/>
      <c r="G604" s="35"/>
      <c r="H604" s="35">
        <f>H605</f>
        <v>665.4</v>
      </c>
      <c r="I604" s="35">
        <f t="shared" ref="I604:K605" si="273">I605</f>
        <v>665.4</v>
      </c>
      <c r="J604" s="35">
        <f t="shared" si="273"/>
        <v>665.4</v>
      </c>
      <c r="K604" s="35">
        <f t="shared" si="273"/>
        <v>665.4</v>
      </c>
      <c r="L604" s="35">
        <f t="shared" si="250"/>
        <v>100</v>
      </c>
      <c r="M604" s="35">
        <f t="shared" si="252"/>
        <v>100</v>
      </c>
    </row>
    <row r="605" spans="1:13" ht="25.5">
      <c r="A605" s="59" t="s">
        <v>80</v>
      </c>
      <c r="B605" s="28" t="s">
        <v>283</v>
      </c>
      <c r="C605" s="28" t="s">
        <v>46</v>
      </c>
      <c r="D605" s="28" t="s">
        <v>106</v>
      </c>
      <c r="E605" s="29" t="s">
        <v>614</v>
      </c>
      <c r="F605" s="28" t="s">
        <v>81</v>
      </c>
      <c r="G605" s="35"/>
      <c r="H605" s="35">
        <f>H606</f>
        <v>665.4</v>
      </c>
      <c r="I605" s="35">
        <f t="shared" si="273"/>
        <v>665.4</v>
      </c>
      <c r="J605" s="35">
        <f t="shared" si="273"/>
        <v>665.4</v>
      </c>
      <c r="K605" s="35">
        <f t="shared" si="273"/>
        <v>665.4</v>
      </c>
      <c r="L605" s="35">
        <f t="shared" si="250"/>
        <v>100</v>
      </c>
      <c r="M605" s="35">
        <f t="shared" si="252"/>
        <v>100</v>
      </c>
    </row>
    <row r="606" spans="1:13">
      <c r="A606" s="59" t="s">
        <v>271</v>
      </c>
      <c r="B606" s="28" t="s">
        <v>283</v>
      </c>
      <c r="C606" s="28" t="s">
        <v>46</v>
      </c>
      <c r="D606" s="28" t="s">
        <v>106</v>
      </c>
      <c r="E606" s="29" t="s">
        <v>614</v>
      </c>
      <c r="F606" s="28" t="s">
        <v>272</v>
      </c>
      <c r="G606" s="35"/>
      <c r="H606" s="35">
        <v>665.4</v>
      </c>
      <c r="I606" s="35">
        <v>665.4</v>
      </c>
      <c r="J606" s="35">
        <v>665.4</v>
      </c>
      <c r="K606" s="35">
        <v>665.4</v>
      </c>
      <c r="L606" s="35">
        <f t="shared" si="250"/>
        <v>100</v>
      </c>
      <c r="M606" s="35">
        <f t="shared" si="252"/>
        <v>100</v>
      </c>
    </row>
    <row r="607" spans="1:13" ht="38.25">
      <c r="A607" s="69" t="s">
        <v>1120</v>
      </c>
      <c r="B607" s="28" t="s">
        <v>283</v>
      </c>
      <c r="C607" s="28" t="s">
        <v>46</v>
      </c>
      <c r="D607" s="28" t="s">
        <v>106</v>
      </c>
      <c r="E607" s="29" t="s">
        <v>1117</v>
      </c>
      <c r="F607" s="28"/>
      <c r="G607" s="35"/>
      <c r="H607" s="35">
        <f>H608</f>
        <v>30.577000000000002</v>
      </c>
      <c r="I607" s="35">
        <f t="shared" ref="I607:K609" si="274">I608</f>
        <v>30.577000000000002</v>
      </c>
      <c r="J607" s="35">
        <f t="shared" si="274"/>
        <v>30.577000000000002</v>
      </c>
      <c r="K607" s="35">
        <f t="shared" si="274"/>
        <v>30.577000000000002</v>
      </c>
      <c r="L607" s="35">
        <f t="shared" si="250"/>
        <v>100</v>
      </c>
      <c r="M607" s="35">
        <f t="shared" si="252"/>
        <v>100</v>
      </c>
    </row>
    <row r="608" spans="1:13" ht="114.75">
      <c r="A608" s="69" t="s">
        <v>1121</v>
      </c>
      <c r="B608" s="28" t="s">
        <v>283</v>
      </c>
      <c r="C608" s="28" t="s">
        <v>46</v>
      </c>
      <c r="D608" s="28" t="s">
        <v>106</v>
      </c>
      <c r="E608" s="29" t="s">
        <v>1118</v>
      </c>
      <c r="F608" s="28"/>
      <c r="G608" s="35"/>
      <c r="H608" s="35">
        <f>H609</f>
        <v>30.577000000000002</v>
      </c>
      <c r="I608" s="35">
        <f t="shared" si="274"/>
        <v>30.577000000000002</v>
      </c>
      <c r="J608" s="35">
        <f t="shared" si="274"/>
        <v>30.577000000000002</v>
      </c>
      <c r="K608" s="35">
        <f t="shared" si="274"/>
        <v>30.577000000000002</v>
      </c>
      <c r="L608" s="35">
        <f t="shared" si="250"/>
        <v>100</v>
      </c>
      <c r="M608" s="35">
        <f t="shared" si="252"/>
        <v>100</v>
      </c>
    </row>
    <row r="609" spans="1:13" ht="114.75">
      <c r="A609" s="59" t="s">
        <v>1122</v>
      </c>
      <c r="B609" s="28" t="s">
        <v>283</v>
      </c>
      <c r="C609" s="28" t="s">
        <v>46</v>
      </c>
      <c r="D609" s="28" t="s">
        <v>106</v>
      </c>
      <c r="E609" s="29" t="s">
        <v>1119</v>
      </c>
      <c r="F609" s="28"/>
      <c r="G609" s="35"/>
      <c r="H609" s="35">
        <f>H610</f>
        <v>30.577000000000002</v>
      </c>
      <c r="I609" s="35">
        <f t="shared" si="274"/>
        <v>30.577000000000002</v>
      </c>
      <c r="J609" s="35">
        <f t="shared" si="274"/>
        <v>30.577000000000002</v>
      </c>
      <c r="K609" s="35">
        <f t="shared" si="274"/>
        <v>30.577000000000002</v>
      </c>
      <c r="L609" s="35">
        <f t="shared" si="250"/>
        <v>100</v>
      </c>
      <c r="M609" s="35">
        <f t="shared" si="252"/>
        <v>100</v>
      </c>
    </row>
    <row r="610" spans="1:13" ht="25.5">
      <c r="A610" s="59" t="s">
        <v>80</v>
      </c>
      <c r="B610" s="28" t="s">
        <v>283</v>
      </c>
      <c r="C610" s="28" t="s">
        <v>46</v>
      </c>
      <c r="D610" s="28" t="s">
        <v>106</v>
      </c>
      <c r="E610" s="29" t="s">
        <v>1119</v>
      </c>
      <c r="F610" s="28">
        <v>600</v>
      </c>
      <c r="G610" s="35"/>
      <c r="H610" s="35">
        <f>H611+H612</f>
        <v>30.577000000000002</v>
      </c>
      <c r="I610" s="35">
        <f t="shared" ref="I610:K610" si="275">I611+I612</f>
        <v>30.577000000000002</v>
      </c>
      <c r="J610" s="35">
        <f t="shared" si="275"/>
        <v>30.577000000000002</v>
      </c>
      <c r="K610" s="35">
        <f t="shared" si="275"/>
        <v>30.577000000000002</v>
      </c>
      <c r="L610" s="35">
        <f t="shared" si="250"/>
        <v>100</v>
      </c>
      <c r="M610" s="35">
        <f t="shared" si="252"/>
        <v>100</v>
      </c>
    </row>
    <row r="611" spans="1:13">
      <c r="A611" s="59" t="s">
        <v>271</v>
      </c>
      <c r="B611" s="28" t="s">
        <v>283</v>
      </c>
      <c r="C611" s="28" t="s">
        <v>46</v>
      </c>
      <c r="D611" s="28" t="s">
        <v>106</v>
      </c>
      <c r="E611" s="29" t="s">
        <v>1119</v>
      </c>
      <c r="F611" s="28">
        <v>610</v>
      </c>
      <c r="G611" s="35"/>
      <c r="H611" s="35">
        <v>29.9649</v>
      </c>
      <c r="I611" s="35">
        <v>29.9649</v>
      </c>
      <c r="J611" s="35">
        <v>29.9649</v>
      </c>
      <c r="K611" s="35">
        <v>29.9649</v>
      </c>
      <c r="L611" s="35">
        <f t="shared" ref="L611:L674" si="276">K611/H611*100</f>
        <v>100</v>
      </c>
      <c r="M611" s="35">
        <f t="shared" ref="M611:M674" si="277">K611/I611*100</f>
        <v>100</v>
      </c>
    </row>
    <row r="612" spans="1:13">
      <c r="A612" s="62" t="s">
        <v>82</v>
      </c>
      <c r="B612" s="28" t="s">
        <v>283</v>
      </c>
      <c r="C612" s="28" t="s">
        <v>46</v>
      </c>
      <c r="D612" s="28" t="s">
        <v>106</v>
      </c>
      <c r="E612" s="29" t="s">
        <v>1119</v>
      </c>
      <c r="F612" s="28">
        <v>620</v>
      </c>
      <c r="G612" s="35"/>
      <c r="H612" s="35">
        <v>0.61209999999999998</v>
      </c>
      <c r="I612" s="35">
        <v>0.61209999999999998</v>
      </c>
      <c r="J612" s="35">
        <v>0.61209999999999998</v>
      </c>
      <c r="K612" s="35">
        <v>0.61209999999999998</v>
      </c>
      <c r="L612" s="35">
        <f t="shared" si="276"/>
        <v>100</v>
      </c>
      <c r="M612" s="35">
        <f t="shared" si="277"/>
        <v>100</v>
      </c>
    </row>
    <row r="613" spans="1:13">
      <c r="A613" s="59" t="s">
        <v>315</v>
      </c>
      <c r="B613" s="28" t="s">
        <v>283</v>
      </c>
      <c r="C613" s="28" t="s">
        <v>46</v>
      </c>
      <c r="D613" s="28" t="s">
        <v>19</v>
      </c>
      <c r="E613" s="58" t="s">
        <v>0</v>
      </c>
      <c r="F613" s="58" t="s">
        <v>0</v>
      </c>
      <c r="G613" s="35">
        <f>G614</f>
        <v>71013.900000000009</v>
      </c>
      <c r="H613" s="35">
        <f t="shared" ref="H613:K614" si="278">H614</f>
        <v>71326.400000000009</v>
      </c>
      <c r="I613" s="35">
        <f t="shared" si="278"/>
        <v>46858.6</v>
      </c>
      <c r="J613" s="35">
        <f t="shared" si="278"/>
        <v>46858.6</v>
      </c>
      <c r="K613" s="35">
        <f t="shared" si="278"/>
        <v>46858.6</v>
      </c>
      <c r="L613" s="35">
        <f t="shared" si="276"/>
        <v>65.696011574956799</v>
      </c>
      <c r="M613" s="35">
        <f t="shared" si="277"/>
        <v>100</v>
      </c>
    </row>
    <row r="614" spans="1:13" ht="38.25">
      <c r="A614" s="59" t="s">
        <v>136</v>
      </c>
      <c r="B614" s="28" t="s">
        <v>283</v>
      </c>
      <c r="C614" s="28" t="s">
        <v>46</v>
      </c>
      <c r="D614" s="28" t="s">
        <v>19</v>
      </c>
      <c r="E614" s="28" t="s">
        <v>137</v>
      </c>
      <c r="F614" s="58" t="s">
        <v>0</v>
      </c>
      <c r="G614" s="35">
        <f>G615</f>
        <v>71013.900000000009</v>
      </c>
      <c r="H614" s="35">
        <f t="shared" si="278"/>
        <v>71326.400000000009</v>
      </c>
      <c r="I614" s="35">
        <f t="shared" si="278"/>
        <v>46858.6</v>
      </c>
      <c r="J614" s="35">
        <f t="shared" si="278"/>
        <v>46858.6</v>
      </c>
      <c r="K614" s="35">
        <f t="shared" si="278"/>
        <v>46858.6</v>
      </c>
      <c r="L614" s="35">
        <f t="shared" si="276"/>
        <v>65.696011574956799</v>
      </c>
      <c r="M614" s="35">
        <f t="shared" si="277"/>
        <v>100</v>
      </c>
    </row>
    <row r="615" spans="1:13" ht="63.75">
      <c r="A615" s="59" t="s">
        <v>289</v>
      </c>
      <c r="B615" s="28" t="s">
        <v>283</v>
      </c>
      <c r="C615" s="28" t="s">
        <v>46</v>
      </c>
      <c r="D615" s="28" t="s">
        <v>19</v>
      </c>
      <c r="E615" s="28" t="s">
        <v>290</v>
      </c>
      <c r="F615" s="58" t="s">
        <v>0</v>
      </c>
      <c r="G615" s="35">
        <f>G616+G619</f>
        <v>71013.900000000009</v>
      </c>
      <c r="H615" s="35">
        <f t="shared" ref="H615:K615" si="279">H616+H619</f>
        <v>71326.400000000009</v>
      </c>
      <c r="I615" s="35">
        <f t="shared" si="279"/>
        <v>46858.6</v>
      </c>
      <c r="J615" s="35">
        <f t="shared" si="279"/>
        <v>46858.6</v>
      </c>
      <c r="K615" s="35">
        <f t="shared" si="279"/>
        <v>46858.6</v>
      </c>
      <c r="L615" s="35">
        <f t="shared" si="276"/>
        <v>65.696011574956799</v>
      </c>
      <c r="M615" s="35">
        <f t="shared" si="277"/>
        <v>100</v>
      </c>
    </row>
    <row r="616" spans="1:13" ht="25.5">
      <c r="A616" s="59" t="s">
        <v>76</v>
      </c>
      <c r="B616" s="28" t="s">
        <v>283</v>
      </c>
      <c r="C616" s="28" t="s">
        <v>46</v>
      </c>
      <c r="D616" s="28" t="s">
        <v>19</v>
      </c>
      <c r="E616" s="28" t="s">
        <v>293</v>
      </c>
      <c r="F616" s="58" t="s">
        <v>0</v>
      </c>
      <c r="G616" s="35">
        <f>G617</f>
        <v>70135.100000000006</v>
      </c>
      <c r="H616" s="35">
        <f t="shared" ref="H616:K617" si="280">H617</f>
        <v>70447.600000000006</v>
      </c>
      <c r="I616" s="35">
        <f t="shared" si="280"/>
        <v>46858.6</v>
      </c>
      <c r="J616" s="35">
        <f t="shared" si="280"/>
        <v>46858.6</v>
      </c>
      <c r="K616" s="35">
        <f t="shared" si="280"/>
        <v>46858.6</v>
      </c>
      <c r="L616" s="35">
        <f t="shared" si="276"/>
        <v>66.515537789789846</v>
      </c>
      <c r="M616" s="35">
        <f t="shared" si="277"/>
        <v>100</v>
      </c>
    </row>
    <row r="617" spans="1:13" ht="25.5">
      <c r="A617" s="59" t="s">
        <v>80</v>
      </c>
      <c r="B617" s="28" t="s">
        <v>283</v>
      </c>
      <c r="C617" s="28" t="s">
        <v>46</v>
      </c>
      <c r="D617" s="28" t="s">
        <v>19</v>
      </c>
      <c r="E617" s="28" t="s">
        <v>293</v>
      </c>
      <c r="F617" s="28" t="s">
        <v>81</v>
      </c>
      <c r="G617" s="35">
        <f>G618</f>
        <v>70135.100000000006</v>
      </c>
      <c r="H617" s="35">
        <f t="shared" si="280"/>
        <v>70447.600000000006</v>
      </c>
      <c r="I617" s="35">
        <f t="shared" si="280"/>
        <v>46858.6</v>
      </c>
      <c r="J617" s="35">
        <f t="shared" si="280"/>
        <v>46858.6</v>
      </c>
      <c r="K617" s="35">
        <f t="shared" si="280"/>
        <v>46858.6</v>
      </c>
      <c r="L617" s="35">
        <f t="shared" si="276"/>
        <v>66.515537789789846</v>
      </c>
      <c r="M617" s="35">
        <f t="shared" si="277"/>
        <v>100</v>
      </c>
    </row>
    <row r="618" spans="1:13">
      <c r="A618" s="59" t="s">
        <v>271</v>
      </c>
      <c r="B618" s="28" t="s">
        <v>283</v>
      </c>
      <c r="C618" s="28" t="s">
        <v>46</v>
      </c>
      <c r="D618" s="28" t="s">
        <v>19</v>
      </c>
      <c r="E618" s="28" t="s">
        <v>293</v>
      </c>
      <c r="F618" s="28" t="s">
        <v>272</v>
      </c>
      <c r="G618" s="35">
        <v>70135.100000000006</v>
      </c>
      <c r="H618" s="35">
        <v>70447.600000000006</v>
      </c>
      <c r="I618" s="35">
        <v>46858.6</v>
      </c>
      <c r="J618" s="35">
        <v>46858.6</v>
      </c>
      <c r="K618" s="35">
        <v>46858.6</v>
      </c>
      <c r="L618" s="35">
        <f t="shared" si="276"/>
        <v>66.515537789789846</v>
      </c>
      <c r="M618" s="35">
        <f t="shared" si="277"/>
        <v>100</v>
      </c>
    </row>
    <row r="619" spans="1:13">
      <c r="A619" s="59" t="s">
        <v>303</v>
      </c>
      <c r="B619" s="28" t="s">
        <v>283</v>
      </c>
      <c r="C619" s="28" t="s">
        <v>46</v>
      </c>
      <c r="D619" s="28" t="s">
        <v>19</v>
      </c>
      <c r="E619" s="28" t="s">
        <v>316</v>
      </c>
      <c r="F619" s="58" t="s">
        <v>0</v>
      </c>
      <c r="G619" s="35">
        <f>G620</f>
        <v>878.8</v>
      </c>
      <c r="H619" s="35">
        <f t="shared" ref="H619:K620" si="281">H620</f>
        <v>878.8</v>
      </c>
      <c r="I619" s="35">
        <f t="shared" si="281"/>
        <v>0</v>
      </c>
      <c r="J619" s="35">
        <f t="shared" si="281"/>
        <v>0</v>
      </c>
      <c r="K619" s="35">
        <f t="shared" si="281"/>
        <v>0</v>
      </c>
      <c r="L619" s="35">
        <f t="shared" si="276"/>
        <v>0</v>
      </c>
      <c r="M619" s="35">
        <v>0</v>
      </c>
    </row>
    <row r="620" spans="1:13">
      <c r="A620" s="59" t="s">
        <v>72</v>
      </c>
      <c r="B620" s="28" t="s">
        <v>283</v>
      </c>
      <c r="C620" s="28" t="s">
        <v>46</v>
      </c>
      <c r="D620" s="28" t="s">
        <v>19</v>
      </c>
      <c r="E620" s="28" t="s">
        <v>316</v>
      </c>
      <c r="F620" s="28" t="s">
        <v>73</v>
      </c>
      <c r="G620" s="35">
        <f>G621</f>
        <v>878.8</v>
      </c>
      <c r="H620" s="35">
        <f t="shared" si="281"/>
        <v>878.8</v>
      </c>
      <c r="I620" s="35">
        <f t="shared" si="281"/>
        <v>0</v>
      </c>
      <c r="J620" s="35">
        <f t="shared" si="281"/>
        <v>0</v>
      </c>
      <c r="K620" s="35">
        <f t="shared" si="281"/>
        <v>0</v>
      </c>
      <c r="L620" s="35">
        <f t="shared" si="276"/>
        <v>0</v>
      </c>
      <c r="M620" s="35">
        <v>0</v>
      </c>
    </row>
    <row r="621" spans="1:13" ht="51">
      <c r="A621" s="59" t="s">
        <v>218</v>
      </c>
      <c r="B621" s="28" t="s">
        <v>283</v>
      </c>
      <c r="C621" s="28" t="s">
        <v>46</v>
      </c>
      <c r="D621" s="28" t="s">
        <v>19</v>
      </c>
      <c r="E621" s="28" t="s">
        <v>316</v>
      </c>
      <c r="F621" s="28" t="s">
        <v>219</v>
      </c>
      <c r="G621" s="35">
        <v>878.8</v>
      </c>
      <c r="H621" s="35">
        <v>878.8</v>
      </c>
      <c r="I621" s="35">
        <v>0</v>
      </c>
      <c r="J621" s="35">
        <v>0</v>
      </c>
      <c r="K621" s="35">
        <v>0</v>
      </c>
      <c r="L621" s="35">
        <f t="shared" si="276"/>
        <v>0</v>
      </c>
      <c r="M621" s="35">
        <v>0</v>
      </c>
    </row>
    <row r="622" spans="1:13">
      <c r="A622" s="59" t="s">
        <v>317</v>
      </c>
      <c r="B622" s="28" t="s">
        <v>283</v>
      </c>
      <c r="C622" s="28" t="s">
        <v>46</v>
      </c>
      <c r="D622" s="28" t="s">
        <v>93</v>
      </c>
      <c r="E622" s="58" t="s">
        <v>0</v>
      </c>
      <c r="F622" s="58" t="s">
        <v>0</v>
      </c>
      <c r="G622" s="35">
        <f>G623</f>
        <v>148228.90000000002</v>
      </c>
      <c r="H622" s="35">
        <f t="shared" ref="H622:K625" si="282">H623</f>
        <v>150313.70000000001</v>
      </c>
      <c r="I622" s="35">
        <f t="shared" si="282"/>
        <v>110461.4</v>
      </c>
      <c r="J622" s="35">
        <f t="shared" si="282"/>
        <v>110461.4</v>
      </c>
      <c r="K622" s="35">
        <f t="shared" si="282"/>
        <v>110461.4</v>
      </c>
      <c r="L622" s="35">
        <f t="shared" si="276"/>
        <v>73.487247004098748</v>
      </c>
      <c r="M622" s="35">
        <f t="shared" si="277"/>
        <v>100</v>
      </c>
    </row>
    <row r="623" spans="1:13" ht="38.25">
      <c r="A623" s="59" t="s">
        <v>136</v>
      </c>
      <c r="B623" s="28" t="s">
        <v>283</v>
      </c>
      <c r="C623" s="28" t="s">
        <v>46</v>
      </c>
      <c r="D623" s="28" t="s">
        <v>93</v>
      </c>
      <c r="E623" s="28" t="s">
        <v>137</v>
      </c>
      <c r="F623" s="58" t="s">
        <v>0</v>
      </c>
      <c r="G623" s="35">
        <f>G624</f>
        <v>148228.90000000002</v>
      </c>
      <c r="H623" s="35">
        <f t="shared" si="282"/>
        <v>150313.70000000001</v>
      </c>
      <c r="I623" s="35">
        <f t="shared" si="282"/>
        <v>110461.4</v>
      </c>
      <c r="J623" s="35">
        <f t="shared" si="282"/>
        <v>110461.4</v>
      </c>
      <c r="K623" s="35">
        <f t="shared" si="282"/>
        <v>110461.4</v>
      </c>
      <c r="L623" s="35">
        <f t="shared" si="276"/>
        <v>73.487247004098748</v>
      </c>
      <c r="M623" s="35">
        <f t="shared" si="277"/>
        <v>100</v>
      </c>
    </row>
    <row r="624" spans="1:13" ht="25.5">
      <c r="A624" s="59" t="s">
        <v>318</v>
      </c>
      <c r="B624" s="28" t="s">
        <v>283</v>
      </c>
      <c r="C624" s="28" t="s">
        <v>46</v>
      </c>
      <c r="D624" s="28" t="s">
        <v>93</v>
      </c>
      <c r="E624" s="28" t="s">
        <v>319</v>
      </c>
      <c r="F624" s="58" t="s">
        <v>0</v>
      </c>
      <c r="G624" s="35">
        <f>G625</f>
        <v>148228.90000000002</v>
      </c>
      <c r="H624" s="35">
        <f t="shared" si="282"/>
        <v>150313.70000000001</v>
      </c>
      <c r="I624" s="35">
        <f t="shared" si="282"/>
        <v>110461.4</v>
      </c>
      <c r="J624" s="35">
        <f t="shared" si="282"/>
        <v>110461.4</v>
      </c>
      <c r="K624" s="35">
        <f t="shared" si="282"/>
        <v>110461.4</v>
      </c>
      <c r="L624" s="35">
        <f t="shared" si="276"/>
        <v>73.487247004098748</v>
      </c>
      <c r="M624" s="35">
        <f t="shared" si="277"/>
        <v>100</v>
      </c>
    </row>
    <row r="625" spans="1:13" ht="25.5">
      <c r="A625" s="59" t="s">
        <v>76</v>
      </c>
      <c r="B625" s="28" t="s">
        <v>283</v>
      </c>
      <c r="C625" s="28" t="s">
        <v>46</v>
      </c>
      <c r="D625" s="28" t="s">
        <v>93</v>
      </c>
      <c r="E625" s="28" t="s">
        <v>320</v>
      </c>
      <c r="F625" s="58" t="s">
        <v>0</v>
      </c>
      <c r="G625" s="35">
        <f>G626</f>
        <v>148228.90000000002</v>
      </c>
      <c r="H625" s="35">
        <f t="shared" si="282"/>
        <v>150313.70000000001</v>
      </c>
      <c r="I625" s="35">
        <f t="shared" si="282"/>
        <v>110461.4</v>
      </c>
      <c r="J625" s="35">
        <f t="shared" si="282"/>
        <v>110461.4</v>
      </c>
      <c r="K625" s="35">
        <f t="shared" si="282"/>
        <v>110461.4</v>
      </c>
      <c r="L625" s="35">
        <f t="shared" si="276"/>
        <v>73.487247004098748</v>
      </c>
      <c r="M625" s="35">
        <f t="shared" si="277"/>
        <v>100</v>
      </c>
    </row>
    <row r="626" spans="1:13" ht="25.5">
      <c r="A626" s="59" t="s">
        <v>80</v>
      </c>
      <c r="B626" s="28" t="s">
        <v>283</v>
      </c>
      <c r="C626" s="28" t="s">
        <v>46</v>
      </c>
      <c r="D626" s="28" t="s">
        <v>93</v>
      </c>
      <c r="E626" s="28" t="s">
        <v>320</v>
      </c>
      <c r="F626" s="28" t="s">
        <v>81</v>
      </c>
      <c r="G626" s="35">
        <f>G627+G628</f>
        <v>148228.90000000002</v>
      </c>
      <c r="H626" s="35">
        <f t="shared" ref="H626:K626" si="283">H627+H628</f>
        <v>150313.70000000001</v>
      </c>
      <c r="I626" s="35">
        <f t="shared" si="283"/>
        <v>110461.4</v>
      </c>
      <c r="J626" s="35">
        <f t="shared" si="283"/>
        <v>110461.4</v>
      </c>
      <c r="K626" s="35">
        <f t="shared" si="283"/>
        <v>110461.4</v>
      </c>
      <c r="L626" s="35">
        <f t="shared" si="276"/>
        <v>73.487247004098748</v>
      </c>
      <c r="M626" s="35">
        <f t="shared" si="277"/>
        <v>100</v>
      </c>
    </row>
    <row r="627" spans="1:13">
      <c r="A627" s="59" t="s">
        <v>271</v>
      </c>
      <c r="B627" s="28" t="s">
        <v>283</v>
      </c>
      <c r="C627" s="28" t="s">
        <v>46</v>
      </c>
      <c r="D627" s="28" t="s">
        <v>93</v>
      </c>
      <c r="E627" s="28" t="s">
        <v>320</v>
      </c>
      <c r="F627" s="28" t="s">
        <v>272</v>
      </c>
      <c r="G627" s="35">
        <v>71306.3</v>
      </c>
      <c r="H627" s="35">
        <v>73391.100000000006</v>
      </c>
      <c r="I627" s="35">
        <v>52769.5</v>
      </c>
      <c r="J627" s="35">
        <v>52769.5</v>
      </c>
      <c r="K627" s="35">
        <v>52769.5</v>
      </c>
      <c r="L627" s="35">
        <f t="shared" si="276"/>
        <v>71.9017701056395</v>
      </c>
      <c r="M627" s="35">
        <f t="shared" si="277"/>
        <v>100</v>
      </c>
    </row>
    <row r="628" spans="1:13">
      <c r="A628" s="59" t="s">
        <v>82</v>
      </c>
      <c r="B628" s="28" t="s">
        <v>283</v>
      </c>
      <c r="C628" s="28" t="s">
        <v>46</v>
      </c>
      <c r="D628" s="28" t="s">
        <v>93</v>
      </c>
      <c r="E628" s="28" t="s">
        <v>320</v>
      </c>
      <c r="F628" s="28" t="s">
        <v>83</v>
      </c>
      <c r="G628" s="35">
        <v>76922.600000000006</v>
      </c>
      <c r="H628" s="35">
        <v>76922.600000000006</v>
      </c>
      <c r="I628" s="35">
        <v>57691.9</v>
      </c>
      <c r="J628" s="35">
        <v>57691.9</v>
      </c>
      <c r="K628" s="35">
        <v>57691.9</v>
      </c>
      <c r="L628" s="35">
        <f t="shared" si="276"/>
        <v>74.999934999597002</v>
      </c>
      <c r="M628" s="35">
        <f t="shared" si="277"/>
        <v>100</v>
      </c>
    </row>
    <row r="629" spans="1:13" ht="25.5">
      <c r="A629" s="59" t="s">
        <v>321</v>
      </c>
      <c r="B629" s="28" t="s">
        <v>283</v>
      </c>
      <c r="C629" s="28" t="s">
        <v>46</v>
      </c>
      <c r="D629" s="28" t="s">
        <v>32</v>
      </c>
      <c r="E629" s="58" t="s">
        <v>0</v>
      </c>
      <c r="F629" s="58" t="s">
        <v>0</v>
      </c>
      <c r="G629" s="35">
        <f>G630</f>
        <v>122130.2</v>
      </c>
      <c r="H629" s="35">
        <f t="shared" ref="H629:K633" si="284">H630</f>
        <v>122130.2</v>
      </c>
      <c r="I629" s="35">
        <f t="shared" si="284"/>
        <v>91597.7</v>
      </c>
      <c r="J629" s="35">
        <f t="shared" si="284"/>
        <v>91597.7</v>
      </c>
      <c r="K629" s="35">
        <f t="shared" si="284"/>
        <v>91597.7</v>
      </c>
      <c r="L629" s="35">
        <f t="shared" si="276"/>
        <v>75.000040939914953</v>
      </c>
      <c r="M629" s="35">
        <f t="shared" si="277"/>
        <v>100</v>
      </c>
    </row>
    <row r="630" spans="1:13" ht="38.25">
      <c r="A630" s="59" t="s">
        <v>136</v>
      </c>
      <c r="B630" s="28" t="s">
        <v>283</v>
      </c>
      <c r="C630" s="28" t="s">
        <v>46</v>
      </c>
      <c r="D630" s="28" t="s">
        <v>32</v>
      </c>
      <c r="E630" s="28" t="s">
        <v>137</v>
      </c>
      <c r="F630" s="58" t="s">
        <v>0</v>
      </c>
      <c r="G630" s="63">
        <f>G631</f>
        <v>122130.2</v>
      </c>
      <c r="H630" s="63">
        <f t="shared" si="284"/>
        <v>122130.2</v>
      </c>
      <c r="I630" s="63">
        <f t="shared" si="284"/>
        <v>91597.7</v>
      </c>
      <c r="J630" s="63">
        <f t="shared" si="284"/>
        <v>91597.7</v>
      </c>
      <c r="K630" s="63">
        <f t="shared" si="284"/>
        <v>91597.7</v>
      </c>
      <c r="L630" s="35">
        <f t="shared" si="276"/>
        <v>75.000040939914953</v>
      </c>
      <c r="M630" s="35">
        <f t="shared" si="277"/>
        <v>100</v>
      </c>
    </row>
    <row r="631" spans="1:13" ht="63.75">
      <c r="A631" s="59" t="s">
        <v>289</v>
      </c>
      <c r="B631" s="28" t="s">
        <v>283</v>
      </c>
      <c r="C631" s="28" t="s">
        <v>46</v>
      </c>
      <c r="D631" s="28" t="s">
        <v>32</v>
      </c>
      <c r="E631" s="28" t="s">
        <v>290</v>
      </c>
      <c r="F631" s="58" t="s">
        <v>0</v>
      </c>
      <c r="G631" s="35">
        <f>G632</f>
        <v>122130.2</v>
      </c>
      <c r="H631" s="35">
        <f t="shared" si="284"/>
        <v>122130.2</v>
      </c>
      <c r="I631" s="35">
        <f t="shared" si="284"/>
        <v>91597.7</v>
      </c>
      <c r="J631" s="35">
        <f t="shared" si="284"/>
        <v>91597.7</v>
      </c>
      <c r="K631" s="35">
        <f t="shared" si="284"/>
        <v>91597.7</v>
      </c>
      <c r="L631" s="35">
        <f t="shared" si="276"/>
        <v>75.000040939914953</v>
      </c>
      <c r="M631" s="35">
        <f t="shared" si="277"/>
        <v>100</v>
      </c>
    </row>
    <row r="632" spans="1:13" ht="25.5">
      <c r="A632" s="59" t="s">
        <v>76</v>
      </c>
      <c r="B632" s="28" t="s">
        <v>283</v>
      </c>
      <c r="C632" s="28" t="s">
        <v>46</v>
      </c>
      <c r="D632" s="28" t="s">
        <v>32</v>
      </c>
      <c r="E632" s="28" t="s">
        <v>293</v>
      </c>
      <c r="F632" s="58" t="s">
        <v>0</v>
      </c>
      <c r="G632" s="35">
        <f>G633</f>
        <v>122130.2</v>
      </c>
      <c r="H632" s="35">
        <f t="shared" si="284"/>
        <v>122130.2</v>
      </c>
      <c r="I632" s="35">
        <f t="shared" si="284"/>
        <v>91597.7</v>
      </c>
      <c r="J632" s="35">
        <f t="shared" si="284"/>
        <v>91597.7</v>
      </c>
      <c r="K632" s="35">
        <f t="shared" si="284"/>
        <v>91597.7</v>
      </c>
      <c r="L632" s="35">
        <f t="shared" si="276"/>
        <v>75.000040939914953</v>
      </c>
      <c r="M632" s="35">
        <f t="shared" si="277"/>
        <v>100</v>
      </c>
    </row>
    <row r="633" spans="1:13" ht="25.5">
      <c r="A633" s="59" t="s">
        <v>80</v>
      </c>
      <c r="B633" s="28" t="s">
        <v>283</v>
      </c>
      <c r="C633" s="28" t="s">
        <v>46</v>
      </c>
      <c r="D633" s="28" t="s">
        <v>32</v>
      </c>
      <c r="E633" s="28" t="s">
        <v>293</v>
      </c>
      <c r="F633" s="28" t="s">
        <v>81</v>
      </c>
      <c r="G633" s="35">
        <f>G634</f>
        <v>122130.2</v>
      </c>
      <c r="H633" s="35">
        <f t="shared" si="284"/>
        <v>122130.2</v>
      </c>
      <c r="I633" s="35">
        <f t="shared" si="284"/>
        <v>91597.7</v>
      </c>
      <c r="J633" s="35">
        <f t="shared" si="284"/>
        <v>91597.7</v>
      </c>
      <c r="K633" s="35">
        <f t="shared" si="284"/>
        <v>91597.7</v>
      </c>
      <c r="L633" s="35">
        <f t="shared" si="276"/>
        <v>75.000040939914953</v>
      </c>
      <c r="M633" s="35">
        <f t="shared" si="277"/>
        <v>100</v>
      </c>
    </row>
    <row r="634" spans="1:13">
      <c r="A634" s="59" t="s">
        <v>271</v>
      </c>
      <c r="B634" s="28" t="s">
        <v>283</v>
      </c>
      <c r="C634" s="28" t="s">
        <v>46</v>
      </c>
      <c r="D634" s="28" t="s">
        <v>32</v>
      </c>
      <c r="E634" s="28" t="s">
        <v>293</v>
      </c>
      <c r="F634" s="28" t="s">
        <v>272</v>
      </c>
      <c r="G634" s="35">
        <v>122130.2</v>
      </c>
      <c r="H634" s="35">
        <v>122130.2</v>
      </c>
      <c r="I634" s="35">
        <v>91597.7</v>
      </c>
      <c r="J634" s="35">
        <v>91597.7</v>
      </c>
      <c r="K634" s="35">
        <v>91597.7</v>
      </c>
      <c r="L634" s="35">
        <f t="shared" si="276"/>
        <v>75.000040939914953</v>
      </c>
      <c r="M634" s="35">
        <f t="shared" si="277"/>
        <v>100</v>
      </c>
    </row>
    <row r="635" spans="1:13">
      <c r="A635" s="59" t="s">
        <v>322</v>
      </c>
      <c r="B635" s="28" t="s">
        <v>283</v>
      </c>
      <c r="C635" s="28" t="s">
        <v>46</v>
      </c>
      <c r="D635" s="28" t="s">
        <v>46</v>
      </c>
      <c r="E635" s="58" t="s">
        <v>0</v>
      </c>
      <c r="F635" s="58" t="s">
        <v>0</v>
      </c>
      <c r="G635" s="35">
        <f>G636+G731+G736</f>
        <v>8595101.5999999996</v>
      </c>
      <c r="H635" s="35">
        <f>H636+H731+H736+H742</f>
        <v>8611546.3363400009</v>
      </c>
      <c r="I635" s="35">
        <f>I636+I731+I736+I742</f>
        <v>6425156.3566100001</v>
      </c>
      <c r="J635" s="35">
        <f t="shared" ref="J635:K635" si="285">J636+J731+J736+J742</f>
        <v>6425156.3566100001</v>
      </c>
      <c r="K635" s="35">
        <f t="shared" si="285"/>
        <v>6414064.4224000005</v>
      </c>
      <c r="L635" s="35">
        <f t="shared" si="276"/>
        <v>74.482144923649642</v>
      </c>
      <c r="M635" s="35">
        <f t="shared" si="277"/>
        <v>99.827367092808743</v>
      </c>
    </row>
    <row r="636" spans="1:13" ht="38.25">
      <c r="A636" s="59" t="s">
        <v>136</v>
      </c>
      <c r="B636" s="28" t="s">
        <v>283</v>
      </c>
      <c r="C636" s="28" t="s">
        <v>46</v>
      </c>
      <c r="D636" s="28" t="s">
        <v>46</v>
      </c>
      <c r="E636" s="28" t="s">
        <v>137</v>
      </c>
      <c r="F636" s="58" t="s">
        <v>0</v>
      </c>
      <c r="G636" s="35">
        <f>G637+G647+G654+G669+G688+G698</f>
        <v>8587724.5</v>
      </c>
      <c r="H636" s="35">
        <f t="shared" ref="H636:I636" si="286">H637+H647+H654+H669+H688+H698</f>
        <v>8598871.1523400005</v>
      </c>
      <c r="I636" s="35">
        <f t="shared" si="286"/>
        <v>6415813.0752400002</v>
      </c>
      <c r="J636" s="35">
        <f t="shared" ref="J636:K636" si="287">J637+J647+J654+J669+J688+J698</f>
        <v>6415813.0752400002</v>
      </c>
      <c r="K636" s="35">
        <f t="shared" si="287"/>
        <v>6404721.1410300005</v>
      </c>
      <c r="L636" s="35">
        <f t="shared" si="276"/>
        <v>74.483278415994064</v>
      </c>
      <c r="M636" s="35">
        <f t="shared" si="277"/>
        <v>99.827115689314482</v>
      </c>
    </row>
    <row r="637" spans="1:13" ht="38.25">
      <c r="A637" s="59" t="s">
        <v>306</v>
      </c>
      <c r="B637" s="28" t="s">
        <v>283</v>
      </c>
      <c r="C637" s="28" t="s">
        <v>46</v>
      </c>
      <c r="D637" s="28" t="s">
        <v>46</v>
      </c>
      <c r="E637" s="28" t="s">
        <v>307</v>
      </c>
      <c r="F637" s="58" t="s">
        <v>0</v>
      </c>
      <c r="G637" s="35">
        <f>G638+G641+G644</f>
        <v>84779.1</v>
      </c>
      <c r="H637" s="35">
        <f t="shared" ref="H637:I637" si="288">H638+H641+H644</f>
        <v>84779.1</v>
      </c>
      <c r="I637" s="35">
        <f t="shared" si="288"/>
        <v>53473.899709999998</v>
      </c>
      <c r="J637" s="35">
        <f t="shared" ref="J637:K637" si="289">J638+J641+J644</f>
        <v>53473.899709999998</v>
      </c>
      <c r="K637" s="35">
        <f t="shared" si="289"/>
        <v>53440.844709999998</v>
      </c>
      <c r="L637" s="35">
        <f t="shared" si="276"/>
        <v>63.035399892190405</v>
      </c>
      <c r="M637" s="35">
        <f t="shared" si="277"/>
        <v>99.938184796359977</v>
      </c>
    </row>
    <row r="638" spans="1:13" ht="51">
      <c r="A638" s="59" t="s">
        <v>323</v>
      </c>
      <c r="B638" s="28" t="s">
        <v>283</v>
      </c>
      <c r="C638" s="28" t="s">
        <v>46</v>
      </c>
      <c r="D638" s="28" t="s">
        <v>46</v>
      </c>
      <c r="E638" s="28" t="s">
        <v>324</v>
      </c>
      <c r="F638" s="58" t="s">
        <v>0</v>
      </c>
      <c r="G638" s="35">
        <f>G639</f>
        <v>81403.5</v>
      </c>
      <c r="H638" s="35">
        <f t="shared" ref="H638:K639" si="290">H639</f>
        <v>81403.5</v>
      </c>
      <c r="I638" s="35">
        <f t="shared" si="290"/>
        <v>51063.657520000001</v>
      </c>
      <c r="J638" s="35">
        <f t="shared" si="290"/>
        <v>51063.657520000001</v>
      </c>
      <c r="K638" s="35">
        <f t="shared" si="290"/>
        <v>51063.657520000001</v>
      </c>
      <c r="L638" s="35">
        <f t="shared" si="276"/>
        <v>62.729068799253106</v>
      </c>
      <c r="M638" s="35">
        <f t="shared" si="277"/>
        <v>100</v>
      </c>
    </row>
    <row r="639" spans="1:13" ht="25.5">
      <c r="A639" s="59" t="s">
        <v>80</v>
      </c>
      <c r="B639" s="28" t="s">
        <v>283</v>
      </c>
      <c r="C639" s="28" t="s">
        <v>46</v>
      </c>
      <c r="D639" s="28" t="s">
        <v>46</v>
      </c>
      <c r="E639" s="28" t="s">
        <v>324</v>
      </c>
      <c r="F639" s="28" t="s">
        <v>81</v>
      </c>
      <c r="G639" s="35">
        <f>G640</f>
        <v>81403.5</v>
      </c>
      <c r="H639" s="35">
        <f t="shared" si="290"/>
        <v>81403.5</v>
      </c>
      <c r="I639" s="35">
        <f t="shared" si="290"/>
        <v>51063.657520000001</v>
      </c>
      <c r="J639" s="35">
        <f t="shared" si="290"/>
        <v>51063.657520000001</v>
      </c>
      <c r="K639" s="35">
        <f t="shared" si="290"/>
        <v>51063.657520000001</v>
      </c>
      <c r="L639" s="35">
        <f t="shared" si="276"/>
        <v>62.729068799253106</v>
      </c>
      <c r="M639" s="35">
        <f t="shared" si="277"/>
        <v>100</v>
      </c>
    </row>
    <row r="640" spans="1:13">
      <c r="A640" s="59" t="s">
        <v>271</v>
      </c>
      <c r="B640" s="28" t="s">
        <v>283</v>
      </c>
      <c r="C640" s="28" t="s">
        <v>46</v>
      </c>
      <c r="D640" s="28" t="s">
        <v>46</v>
      </c>
      <c r="E640" s="28" t="s">
        <v>324</v>
      </c>
      <c r="F640" s="28" t="s">
        <v>272</v>
      </c>
      <c r="G640" s="35">
        <v>81403.5</v>
      </c>
      <c r="H640" s="35">
        <v>81403.5</v>
      </c>
      <c r="I640" s="35">
        <v>51063.657520000001</v>
      </c>
      <c r="J640" s="35">
        <v>51063.657520000001</v>
      </c>
      <c r="K640" s="35">
        <v>51063.657520000001</v>
      </c>
      <c r="L640" s="35">
        <f t="shared" si="276"/>
        <v>62.729068799253106</v>
      </c>
      <c r="M640" s="35">
        <f t="shared" si="277"/>
        <v>100</v>
      </c>
    </row>
    <row r="641" spans="1:13" ht="25.5">
      <c r="A641" s="59" t="s">
        <v>325</v>
      </c>
      <c r="B641" s="28" t="s">
        <v>283</v>
      </c>
      <c r="C641" s="28" t="s">
        <v>46</v>
      </c>
      <c r="D641" s="28" t="s">
        <v>46</v>
      </c>
      <c r="E641" s="28" t="s">
        <v>326</v>
      </c>
      <c r="F641" s="58" t="s">
        <v>0</v>
      </c>
      <c r="G641" s="35">
        <f>G642</f>
        <v>2795.6</v>
      </c>
      <c r="H641" s="35">
        <f t="shared" ref="H641:K642" si="291">H642</f>
        <v>2795.6</v>
      </c>
      <c r="I641" s="35">
        <f t="shared" si="291"/>
        <v>1830.2421899999999</v>
      </c>
      <c r="J641" s="35">
        <f t="shared" si="291"/>
        <v>1830.2421899999999</v>
      </c>
      <c r="K641" s="35">
        <f t="shared" si="291"/>
        <v>1830.2421899999999</v>
      </c>
      <c r="L641" s="35">
        <f t="shared" si="276"/>
        <v>65.468671841465166</v>
      </c>
      <c r="M641" s="35">
        <f t="shared" si="277"/>
        <v>100</v>
      </c>
    </row>
    <row r="642" spans="1:13" ht="25.5">
      <c r="A642" s="59" t="s">
        <v>64</v>
      </c>
      <c r="B642" s="28" t="s">
        <v>283</v>
      </c>
      <c r="C642" s="28" t="s">
        <v>46</v>
      </c>
      <c r="D642" s="28" t="s">
        <v>46</v>
      </c>
      <c r="E642" s="28" t="s">
        <v>326</v>
      </c>
      <c r="F642" s="28" t="s">
        <v>65</v>
      </c>
      <c r="G642" s="35">
        <f>G643</f>
        <v>2795.6</v>
      </c>
      <c r="H642" s="35">
        <f t="shared" si="291"/>
        <v>2795.6</v>
      </c>
      <c r="I642" s="35">
        <f t="shared" si="291"/>
        <v>1830.2421899999999</v>
      </c>
      <c r="J642" s="35">
        <f t="shared" si="291"/>
        <v>1830.2421899999999</v>
      </c>
      <c r="K642" s="35">
        <f t="shared" si="291"/>
        <v>1830.2421899999999</v>
      </c>
      <c r="L642" s="35">
        <f t="shared" si="276"/>
        <v>65.468671841465166</v>
      </c>
      <c r="M642" s="35">
        <f t="shared" si="277"/>
        <v>100</v>
      </c>
    </row>
    <row r="643" spans="1:13" ht="25.5">
      <c r="A643" s="59" t="s">
        <v>66</v>
      </c>
      <c r="B643" s="28" t="s">
        <v>283</v>
      </c>
      <c r="C643" s="28" t="s">
        <v>46</v>
      </c>
      <c r="D643" s="28" t="s">
        <v>46</v>
      </c>
      <c r="E643" s="28" t="s">
        <v>326</v>
      </c>
      <c r="F643" s="28" t="s">
        <v>67</v>
      </c>
      <c r="G643" s="35">
        <v>2795.6</v>
      </c>
      <c r="H643" s="35">
        <v>2795.6</v>
      </c>
      <c r="I643" s="35">
        <v>1830.2421899999999</v>
      </c>
      <c r="J643" s="35">
        <v>1830.2421899999999</v>
      </c>
      <c r="K643" s="35">
        <v>1830.2421899999999</v>
      </c>
      <c r="L643" s="35">
        <f t="shared" si="276"/>
        <v>65.468671841465166</v>
      </c>
      <c r="M643" s="35">
        <f t="shared" si="277"/>
        <v>100</v>
      </c>
    </row>
    <row r="644" spans="1:13">
      <c r="A644" s="59" t="s">
        <v>303</v>
      </c>
      <c r="B644" s="28" t="s">
        <v>283</v>
      </c>
      <c r="C644" s="28" t="s">
        <v>46</v>
      </c>
      <c r="D644" s="28" t="s">
        <v>46</v>
      </c>
      <c r="E644" s="28" t="s">
        <v>327</v>
      </c>
      <c r="F644" s="58" t="s">
        <v>0</v>
      </c>
      <c r="G644" s="35">
        <f>G645</f>
        <v>580</v>
      </c>
      <c r="H644" s="35">
        <f t="shared" ref="H644:K645" si="292">H645</f>
        <v>580</v>
      </c>
      <c r="I644" s="35">
        <f t="shared" si="292"/>
        <v>580</v>
      </c>
      <c r="J644" s="35">
        <f t="shared" si="292"/>
        <v>580</v>
      </c>
      <c r="K644" s="35">
        <f t="shared" si="292"/>
        <v>546.94500000000005</v>
      </c>
      <c r="L644" s="35">
        <f t="shared" si="276"/>
        <v>94.300862068965529</v>
      </c>
      <c r="M644" s="35">
        <f t="shared" si="277"/>
        <v>94.300862068965529</v>
      </c>
    </row>
    <row r="645" spans="1:13" ht="25.5">
      <c r="A645" s="59" t="s">
        <v>64</v>
      </c>
      <c r="B645" s="28" t="s">
        <v>283</v>
      </c>
      <c r="C645" s="28" t="s">
        <v>46</v>
      </c>
      <c r="D645" s="28" t="s">
        <v>46</v>
      </c>
      <c r="E645" s="28" t="s">
        <v>327</v>
      </c>
      <c r="F645" s="28" t="s">
        <v>65</v>
      </c>
      <c r="G645" s="35">
        <f>G646</f>
        <v>580</v>
      </c>
      <c r="H645" s="35">
        <f t="shared" si="292"/>
        <v>580</v>
      </c>
      <c r="I645" s="35">
        <f t="shared" si="292"/>
        <v>580</v>
      </c>
      <c r="J645" s="35">
        <f t="shared" si="292"/>
        <v>580</v>
      </c>
      <c r="K645" s="35">
        <f t="shared" si="292"/>
        <v>546.94500000000005</v>
      </c>
      <c r="L645" s="35">
        <f t="shared" si="276"/>
        <v>94.300862068965529</v>
      </c>
      <c r="M645" s="35">
        <f t="shared" si="277"/>
        <v>94.300862068965529</v>
      </c>
    </row>
    <row r="646" spans="1:13" ht="25.5">
      <c r="A646" s="59" t="s">
        <v>66</v>
      </c>
      <c r="B646" s="28" t="s">
        <v>283</v>
      </c>
      <c r="C646" s="28" t="s">
        <v>46</v>
      </c>
      <c r="D646" s="28" t="s">
        <v>46</v>
      </c>
      <c r="E646" s="28" t="s">
        <v>327</v>
      </c>
      <c r="F646" s="28" t="s">
        <v>67</v>
      </c>
      <c r="G646" s="35">
        <v>580</v>
      </c>
      <c r="H646" s="35">
        <v>580</v>
      </c>
      <c r="I646" s="35">
        <v>580</v>
      </c>
      <c r="J646" s="35">
        <v>580</v>
      </c>
      <c r="K646" s="35">
        <v>546.94500000000005</v>
      </c>
      <c r="L646" s="35">
        <f t="shared" si="276"/>
        <v>94.300862068965529</v>
      </c>
      <c r="M646" s="35">
        <f t="shared" si="277"/>
        <v>94.300862068965529</v>
      </c>
    </row>
    <row r="647" spans="1:13" ht="63.75">
      <c r="A647" s="59" t="s">
        <v>289</v>
      </c>
      <c r="B647" s="28" t="s">
        <v>283</v>
      </c>
      <c r="C647" s="28" t="s">
        <v>46</v>
      </c>
      <c r="D647" s="28" t="s">
        <v>46</v>
      </c>
      <c r="E647" s="28" t="s">
        <v>290</v>
      </c>
      <c r="F647" s="58" t="s">
        <v>0</v>
      </c>
      <c r="G647" s="35">
        <f>G648+G651</f>
        <v>478.5</v>
      </c>
      <c r="H647" s="35">
        <f t="shared" ref="H647:K647" si="293">H648+H651</f>
        <v>478.48385999999999</v>
      </c>
      <c r="I647" s="35">
        <f t="shared" si="293"/>
        <v>478.48385999999999</v>
      </c>
      <c r="J647" s="35">
        <f t="shared" si="293"/>
        <v>478.48385999999999</v>
      </c>
      <c r="K647" s="35">
        <f t="shared" si="293"/>
        <v>478.48385999999999</v>
      </c>
      <c r="L647" s="35">
        <f t="shared" si="276"/>
        <v>100</v>
      </c>
      <c r="M647" s="35">
        <f t="shared" si="277"/>
        <v>100</v>
      </c>
    </row>
    <row r="648" spans="1:13" ht="25.5" hidden="1">
      <c r="A648" s="59" t="s">
        <v>76</v>
      </c>
      <c r="B648" s="28" t="s">
        <v>283</v>
      </c>
      <c r="C648" s="28" t="s">
        <v>46</v>
      </c>
      <c r="D648" s="28" t="s">
        <v>46</v>
      </c>
      <c r="E648" s="28" t="s">
        <v>293</v>
      </c>
      <c r="F648" s="58" t="s">
        <v>0</v>
      </c>
      <c r="G648" s="35">
        <f>G649</f>
        <v>0</v>
      </c>
      <c r="H648" s="35">
        <f t="shared" ref="H648:K649" si="294">H649</f>
        <v>0</v>
      </c>
      <c r="I648" s="35">
        <f t="shared" si="294"/>
        <v>0</v>
      </c>
      <c r="J648" s="35">
        <f t="shared" si="294"/>
        <v>0</v>
      </c>
      <c r="K648" s="35">
        <f t="shared" si="294"/>
        <v>0</v>
      </c>
      <c r="L648" s="35" t="e">
        <f t="shared" si="276"/>
        <v>#DIV/0!</v>
      </c>
      <c r="M648" s="35" t="e">
        <f t="shared" si="277"/>
        <v>#DIV/0!</v>
      </c>
    </row>
    <row r="649" spans="1:13" ht="25.5" hidden="1">
      <c r="A649" s="59" t="s">
        <v>80</v>
      </c>
      <c r="B649" s="28" t="s">
        <v>283</v>
      </c>
      <c r="C649" s="28" t="s">
        <v>46</v>
      </c>
      <c r="D649" s="28" t="s">
        <v>46</v>
      </c>
      <c r="E649" s="28" t="s">
        <v>293</v>
      </c>
      <c r="F649" s="28" t="s">
        <v>81</v>
      </c>
      <c r="G649" s="35">
        <f>G650</f>
        <v>0</v>
      </c>
      <c r="H649" s="35">
        <f t="shared" si="294"/>
        <v>0</v>
      </c>
      <c r="I649" s="35">
        <f t="shared" si="294"/>
        <v>0</v>
      </c>
      <c r="J649" s="35">
        <f t="shared" si="294"/>
        <v>0</v>
      </c>
      <c r="K649" s="35">
        <f t="shared" si="294"/>
        <v>0</v>
      </c>
      <c r="L649" s="35" t="e">
        <f t="shared" si="276"/>
        <v>#DIV/0!</v>
      </c>
      <c r="M649" s="35" t="e">
        <f t="shared" si="277"/>
        <v>#DIV/0!</v>
      </c>
    </row>
    <row r="650" spans="1:13" hidden="1">
      <c r="A650" s="59" t="s">
        <v>271</v>
      </c>
      <c r="B650" s="28" t="s">
        <v>283</v>
      </c>
      <c r="C650" s="28" t="s">
        <v>46</v>
      </c>
      <c r="D650" s="28" t="s">
        <v>46</v>
      </c>
      <c r="E650" s="28" t="s">
        <v>293</v>
      </c>
      <c r="F650" s="28" t="s">
        <v>272</v>
      </c>
      <c r="G650" s="35"/>
      <c r="H650" s="35"/>
      <c r="I650" s="35">
        <v>0</v>
      </c>
      <c r="J650" s="35">
        <v>0</v>
      </c>
      <c r="K650" s="35">
        <v>0</v>
      </c>
      <c r="L650" s="35" t="e">
        <f t="shared" si="276"/>
        <v>#DIV/0!</v>
      </c>
      <c r="M650" s="35" t="e">
        <f t="shared" si="277"/>
        <v>#DIV/0!</v>
      </c>
    </row>
    <row r="651" spans="1:13">
      <c r="A651" s="59" t="s">
        <v>303</v>
      </c>
      <c r="B651" s="28" t="s">
        <v>283</v>
      </c>
      <c r="C651" s="28" t="s">
        <v>46</v>
      </c>
      <c r="D651" s="28" t="s">
        <v>46</v>
      </c>
      <c r="E651" s="28" t="s">
        <v>316</v>
      </c>
      <c r="F651" s="58" t="s">
        <v>0</v>
      </c>
      <c r="G651" s="35">
        <f>G652</f>
        <v>478.5</v>
      </c>
      <c r="H651" s="35">
        <f t="shared" ref="H651:K652" si="295">H652</f>
        <v>478.48385999999999</v>
      </c>
      <c r="I651" s="35">
        <f t="shared" si="295"/>
        <v>478.48385999999999</v>
      </c>
      <c r="J651" s="35">
        <f t="shared" si="295"/>
        <v>478.48385999999999</v>
      </c>
      <c r="K651" s="35">
        <f t="shared" si="295"/>
        <v>478.48385999999999</v>
      </c>
      <c r="L651" s="35">
        <f t="shared" si="276"/>
        <v>100</v>
      </c>
      <c r="M651" s="35">
        <f t="shared" si="277"/>
        <v>100</v>
      </c>
    </row>
    <row r="652" spans="1:13" ht="25.5">
      <c r="A652" s="59" t="s">
        <v>64</v>
      </c>
      <c r="B652" s="28" t="s">
        <v>283</v>
      </c>
      <c r="C652" s="28" t="s">
        <v>46</v>
      </c>
      <c r="D652" s="28" t="s">
        <v>46</v>
      </c>
      <c r="E652" s="28" t="s">
        <v>316</v>
      </c>
      <c r="F652" s="28" t="s">
        <v>65</v>
      </c>
      <c r="G652" s="35">
        <f>G653</f>
        <v>478.5</v>
      </c>
      <c r="H652" s="35">
        <f t="shared" si="295"/>
        <v>478.48385999999999</v>
      </c>
      <c r="I652" s="35">
        <f t="shared" si="295"/>
        <v>478.48385999999999</v>
      </c>
      <c r="J652" s="35">
        <f t="shared" si="295"/>
        <v>478.48385999999999</v>
      </c>
      <c r="K652" s="35">
        <f t="shared" si="295"/>
        <v>478.48385999999999</v>
      </c>
      <c r="L652" s="35">
        <f t="shared" si="276"/>
        <v>100</v>
      </c>
      <c r="M652" s="35">
        <f t="shared" si="277"/>
        <v>100</v>
      </c>
    </row>
    <row r="653" spans="1:13" ht="25.5">
      <c r="A653" s="59" t="s">
        <v>66</v>
      </c>
      <c r="B653" s="28" t="s">
        <v>283</v>
      </c>
      <c r="C653" s="28" t="s">
        <v>46</v>
      </c>
      <c r="D653" s="28" t="s">
        <v>46</v>
      </c>
      <c r="E653" s="28" t="s">
        <v>316</v>
      </c>
      <c r="F653" s="28" t="s">
        <v>67</v>
      </c>
      <c r="G653" s="35">
        <v>478.5</v>
      </c>
      <c r="H653" s="35">
        <v>478.48385999999999</v>
      </c>
      <c r="I653" s="35">
        <v>478.48385999999999</v>
      </c>
      <c r="J653" s="35">
        <v>478.48385999999999</v>
      </c>
      <c r="K653" s="35">
        <v>478.48385999999999</v>
      </c>
      <c r="L653" s="35">
        <f t="shared" si="276"/>
        <v>100</v>
      </c>
      <c r="M653" s="35">
        <f t="shared" si="277"/>
        <v>100</v>
      </c>
    </row>
    <row r="654" spans="1:13">
      <c r="A654" s="59" t="s">
        <v>328</v>
      </c>
      <c r="B654" s="28" t="s">
        <v>283</v>
      </c>
      <c r="C654" s="28" t="s">
        <v>46</v>
      </c>
      <c r="D654" s="28" t="s">
        <v>46</v>
      </c>
      <c r="E654" s="28" t="s">
        <v>329</v>
      </c>
      <c r="F654" s="58" t="s">
        <v>0</v>
      </c>
      <c r="G654" s="35">
        <f>G655+G666</f>
        <v>307214.5</v>
      </c>
      <c r="H654" s="35">
        <f t="shared" ref="H654:K654" si="296">H655+H666</f>
        <v>307214.5</v>
      </c>
      <c r="I654" s="35">
        <f t="shared" si="296"/>
        <v>217346.62149999998</v>
      </c>
      <c r="J654" s="35">
        <f t="shared" si="296"/>
        <v>217346.62149999998</v>
      </c>
      <c r="K654" s="35">
        <f t="shared" si="296"/>
        <v>215405.50430999999</v>
      </c>
      <c r="L654" s="35">
        <f t="shared" si="276"/>
        <v>70.115669771446335</v>
      </c>
      <c r="M654" s="35">
        <f t="shared" si="277"/>
        <v>99.106902524362454</v>
      </c>
    </row>
    <row r="655" spans="1:13" ht="25.5">
      <c r="A655" s="59" t="s">
        <v>76</v>
      </c>
      <c r="B655" s="28" t="s">
        <v>283</v>
      </c>
      <c r="C655" s="28" t="s">
        <v>46</v>
      </c>
      <c r="D655" s="28" t="s">
        <v>46</v>
      </c>
      <c r="E655" s="28" t="s">
        <v>330</v>
      </c>
      <c r="F655" s="58" t="s">
        <v>0</v>
      </c>
      <c r="G655" s="35">
        <f>G662</f>
        <v>234214.5</v>
      </c>
      <c r="H655" s="35">
        <f>H656+H658+H660+H662+H664</f>
        <v>234214.50000000003</v>
      </c>
      <c r="I655" s="35">
        <f t="shared" ref="I655:K655" si="297">I656+I658+I660+I662+I664</f>
        <v>161928.97399999999</v>
      </c>
      <c r="J655" s="35">
        <f t="shared" si="297"/>
        <v>161928.97399999999</v>
      </c>
      <c r="K655" s="35">
        <f t="shared" si="297"/>
        <v>159987.85681</v>
      </c>
      <c r="L655" s="35">
        <f t="shared" si="276"/>
        <v>68.30826307081756</v>
      </c>
      <c r="M655" s="35">
        <f t="shared" si="277"/>
        <v>98.801253943596294</v>
      </c>
    </row>
    <row r="656" spans="1:13" s="91" customFormat="1" ht="63.75">
      <c r="A656" s="59" t="s">
        <v>60</v>
      </c>
      <c r="B656" s="28" t="s">
        <v>283</v>
      </c>
      <c r="C656" s="28" t="s">
        <v>46</v>
      </c>
      <c r="D656" s="28" t="s">
        <v>46</v>
      </c>
      <c r="E656" s="28" t="s">
        <v>330</v>
      </c>
      <c r="F656" s="28">
        <v>100</v>
      </c>
      <c r="G656" s="35"/>
      <c r="H656" s="35">
        <f>H657</f>
        <v>72792.145080000002</v>
      </c>
      <c r="I656" s="35">
        <f t="shared" ref="I656:K656" si="298">I657</f>
        <v>16831.96</v>
      </c>
      <c r="J656" s="35">
        <f t="shared" si="298"/>
        <v>16831.96</v>
      </c>
      <c r="K656" s="35">
        <f t="shared" si="298"/>
        <v>15249.31826</v>
      </c>
      <c r="L656" s="35">
        <f t="shared" si="276"/>
        <v>20.949126094911339</v>
      </c>
      <c r="M656" s="35">
        <f t="shared" si="277"/>
        <v>90.597400778043678</v>
      </c>
    </row>
    <row r="657" spans="1:13" s="91" customFormat="1">
      <c r="A657" s="59" t="s">
        <v>78</v>
      </c>
      <c r="B657" s="28" t="s">
        <v>283</v>
      </c>
      <c r="C657" s="28" t="s">
        <v>46</v>
      </c>
      <c r="D657" s="28" t="s">
        <v>46</v>
      </c>
      <c r="E657" s="28" t="s">
        <v>330</v>
      </c>
      <c r="F657" s="28">
        <v>110</v>
      </c>
      <c r="G657" s="35"/>
      <c r="H657" s="35">
        <f>56215.5781+113.25+16463.31698</f>
        <v>72792.145080000002</v>
      </c>
      <c r="I657" s="35">
        <f>12900+39.5+3892.46</f>
        <v>16831.96</v>
      </c>
      <c r="J657" s="35">
        <f>12900+39.5+3892.46</f>
        <v>16831.96</v>
      </c>
      <c r="K657" s="35">
        <f>11852.64005+29.36807+3367.31014</f>
        <v>15249.31826</v>
      </c>
      <c r="L657" s="35">
        <f t="shared" si="276"/>
        <v>20.949126094911339</v>
      </c>
      <c r="M657" s="35">
        <f t="shared" si="277"/>
        <v>90.597400778043678</v>
      </c>
    </row>
    <row r="658" spans="1:13" s="91" customFormat="1" ht="25.5">
      <c r="A658" s="59" t="s">
        <v>64</v>
      </c>
      <c r="B658" s="28" t="s">
        <v>283</v>
      </c>
      <c r="C658" s="28" t="s">
        <v>46</v>
      </c>
      <c r="D658" s="28" t="s">
        <v>46</v>
      </c>
      <c r="E658" s="28" t="s">
        <v>330</v>
      </c>
      <c r="F658" s="28">
        <v>200</v>
      </c>
      <c r="G658" s="35"/>
      <c r="H658" s="35">
        <f>H659</f>
        <v>16854.77692</v>
      </c>
      <c r="I658" s="35">
        <f t="shared" ref="I658:K658" si="299">I659</f>
        <v>3882.95</v>
      </c>
      <c r="J658" s="35">
        <f t="shared" si="299"/>
        <v>3882.95</v>
      </c>
      <c r="K658" s="35">
        <f t="shared" si="299"/>
        <v>3578.6882300000002</v>
      </c>
      <c r="L658" s="35">
        <f t="shared" si="276"/>
        <v>21.232486475412813</v>
      </c>
      <c r="M658" s="35">
        <f t="shared" si="277"/>
        <v>92.164159466385101</v>
      </c>
    </row>
    <row r="659" spans="1:13" s="91" customFormat="1" ht="25.5">
      <c r="A659" s="59" t="s">
        <v>66</v>
      </c>
      <c r="B659" s="28" t="s">
        <v>283</v>
      </c>
      <c r="C659" s="28" t="s">
        <v>46</v>
      </c>
      <c r="D659" s="28" t="s">
        <v>46</v>
      </c>
      <c r="E659" s="28" t="s">
        <v>330</v>
      </c>
      <c r="F659" s="28">
        <v>240</v>
      </c>
      <c r="G659" s="35"/>
      <c r="H659" s="35">
        <v>16854.77692</v>
      </c>
      <c r="I659" s="35">
        <v>3882.95</v>
      </c>
      <c r="J659" s="35">
        <v>3882.95</v>
      </c>
      <c r="K659" s="35">
        <v>3578.6882300000002</v>
      </c>
      <c r="L659" s="35">
        <f t="shared" si="276"/>
        <v>21.232486475412813</v>
      </c>
      <c r="M659" s="35">
        <f t="shared" si="277"/>
        <v>92.164159466385101</v>
      </c>
    </row>
    <row r="660" spans="1:13" s="91" customFormat="1">
      <c r="A660" s="59" t="s">
        <v>68</v>
      </c>
      <c r="B660" s="28" t="s">
        <v>283</v>
      </c>
      <c r="C660" s="28" t="s">
        <v>46</v>
      </c>
      <c r="D660" s="28" t="s">
        <v>46</v>
      </c>
      <c r="E660" s="28" t="s">
        <v>330</v>
      </c>
      <c r="F660" s="28">
        <v>300</v>
      </c>
      <c r="G660" s="35"/>
      <c r="H660" s="35">
        <f>H661</f>
        <v>507.07499999999999</v>
      </c>
      <c r="I660" s="35">
        <f t="shared" ref="I660:K660" si="300">I661</f>
        <v>211.28399999999999</v>
      </c>
      <c r="J660" s="35">
        <f t="shared" si="300"/>
        <v>211.28399999999999</v>
      </c>
      <c r="K660" s="35">
        <f t="shared" si="300"/>
        <v>157.07032000000001</v>
      </c>
      <c r="L660" s="35">
        <f t="shared" si="276"/>
        <v>30.975757037913525</v>
      </c>
      <c r="M660" s="35">
        <f t="shared" si="277"/>
        <v>74.340849283428952</v>
      </c>
    </row>
    <row r="661" spans="1:13" s="91" customFormat="1" ht="25.5">
      <c r="A661" s="59" t="s">
        <v>151</v>
      </c>
      <c r="B661" s="28" t="s">
        <v>283</v>
      </c>
      <c r="C661" s="28" t="s">
        <v>46</v>
      </c>
      <c r="D661" s="28" t="s">
        <v>46</v>
      </c>
      <c r="E661" s="28" t="s">
        <v>330</v>
      </c>
      <c r="F661" s="28">
        <v>320</v>
      </c>
      <c r="G661" s="35"/>
      <c r="H661" s="35">
        <v>507.07499999999999</v>
      </c>
      <c r="I661" s="35">
        <v>211.28399999999999</v>
      </c>
      <c r="J661" s="35">
        <v>211.28399999999999</v>
      </c>
      <c r="K661" s="35">
        <v>157.07032000000001</v>
      </c>
      <c r="L661" s="35">
        <f t="shared" si="276"/>
        <v>30.975757037913525</v>
      </c>
      <c r="M661" s="35">
        <f t="shared" si="277"/>
        <v>74.340849283428952</v>
      </c>
    </row>
    <row r="662" spans="1:13" ht="25.5">
      <c r="A662" s="59" t="s">
        <v>80</v>
      </c>
      <c r="B662" s="28" t="s">
        <v>283</v>
      </c>
      <c r="C662" s="28" t="s">
        <v>46</v>
      </c>
      <c r="D662" s="28" t="s">
        <v>46</v>
      </c>
      <c r="E662" s="28" t="s">
        <v>330</v>
      </c>
      <c r="F662" s="28" t="s">
        <v>81</v>
      </c>
      <c r="G662" s="35">
        <f>G663</f>
        <v>234214.5</v>
      </c>
      <c r="H662" s="35">
        <f>H663</f>
        <v>143732.70000000001</v>
      </c>
      <c r="I662" s="35">
        <f t="shared" ref="I662:K662" si="301">I663</f>
        <v>141000.78</v>
      </c>
      <c r="J662" s="35">
        <f t="shared" si="301"/>
        <v>141000.78</v>
      </c>
      <c r="K662" s="35">
        <f t="shared" si="301"/>
        <v>141000.78</v>
      </c>
      <c r="L662" s="35">
        <f t="shared" si="276"/>
        <v>98.099305168552448</v>
      </c>
      <c r="M662" s="35">
        <f t="shared" si="277"/>
        <v>100</v>
      </c>
    </row>
    <row r="663" spans="1:13">
      <c r="A663" s="59" t="s">
        <v>271</v>
      </c>
      <c r="B663" s="28" t="s">
        <v>283</v>
      </c>
      <c r="C663" s="28" t="s">
        <v>46</v>
      </c>
      <c r="D663" s="28" t="s">
        <v>46</v>
      </c>
      <c r="E663" s="28" t="s">
        <v>330</v>
      </c>
      <c r="F663" s="28" t="s">
        <v>272</v>
      </c>
      <c r="G663" s="35">
        <v>234214.5</v>
      </c>
      <c r="H663" s="35">
        <f>138732.7+5000</f>
        <v>143732.70000000001</v>
      </c>
      <c r="I663" s="35">
        <f>138732.7+2268.08</f>
        <v>141000.78</v>
      </c>
      <c r="J663" s="35">
        <f>138732.7+2268.08</f>
        <v>141000.78</v>
      </c>
      <c r="K663" s="35">
        <f>138732.7+2268.08</f>
        <v>141000.78</v>
      </c>
      <c r="L663" s="35">
        <f t="shared" si="276"/>
        <v>98.099305168552448</v>
      </c>
      <c r="M663" s="35">
        <f t="shared" si="277"/>
        <v>100</v>
      </c>
    </row>
    <row r="664" spans="1:13" s="91" customFormat="1">
      <c r="A664" s="59" t="s">
        <v>72</v>
      </c>
      <c r="B664" s="28" t="s">
        <v>283</v>
      </c>
      <c r="C664" s="28" t="s">
        <v>46</v>
      </c>
      <c r="D664" s="28" t="s">
        <v>46</v>
      </c>
      <c r="E664" s="28" t="s">
        <v>330</v>
      </c>
      <c r="F664" s="28">
        <v>800</v>
      </c>
      <c r="G664" s="35"/>
      <c r="H664" s="35">
        <f>H665</f>
        <v>327.803</v>
      </c>
      <c r="I664" s="35">
        <f t="shared" ref="I664:K664" si="302">I665</f>
        <v>2</v>
      </c>
      <c r="J664" s="35">
        <f t="shared" si="302"/>
        <v>2</v>
      </c>
      <c r="K664" s="35">
        <f t="shared" si="302"/>
        <v>2</v>
      </c>
      <c r="L664" s="35">
        <f t="shared" si="276"/>
        <v>0.61012254311278413</v>
      </c>
      <c r="M664" s="35">
        <f t="shared" si="277"/>
        <v>100</v>
      </c>
    </row>
    <row r="665" spans="1:13" s="91" customFormat="1">
      <c r="A665" s="59" t="s">
        <v>74</v>
      </c>
      <c r="B665" s="28" t="s">
        <v>283</v>
      </c>
      <c r="C665" s="28" t="s">
        <v>46</v>
      </c>
      <c r="D665" s="28" t="s">
        <v>46</v>
      </c>
      <c r="E665" s="28" t="s">
        <v>330</v>
      </c>
      <c r="F665" s="28">
        <v>850</v>
      </c>
      <c r="G665" s="35"/>
      <c r="H665" s="35">
        <f>318+9.803</f>
        <v>327.803</v>
      </c>
      <c r="I665" s="35">
        <v>2</v>
      </c>
      <c r="J665" s="35">
        <v>2</v>
      </c>
      <c r="K665" s="35">
        <v>2</v>
      </c>
      <c r="L665" s="35">
        <f t="shared" si="276"/>
        <v>0.61012254311278413</v>
      </c>
      <c r="M665" s="35">
        <f t="shared" si="277"/>
        <v>100</v>
      </c>
    </row>
    <row r="666" spans="1:13" ht="38.25">
      <c r="A666" s="59" t="s">
        <v>331</v>
      </c>
      <c r="B666" s="28" t="s">
        <v>283</v>
      </c>
      <c r="C666" s="28" t="s">
        <v>46</v>
      </c>
      <c r="D666" s="28" t="s">
        <v>46</v>
      </c>
      <c r="E666" s="28" t="s">
        <v>332</v>
      </c>
      <c r="F666" s="58" t="s">
        <v>0</v>
      </c>
      <c r="G666" s="35">
        <f>G667</f>
        <v>73000</v>
      </c>
      <c r="H666" s="35">
        <f t="shared" ref="H666:K667" si="303">H667</f>
        <v>73000</v>
      </c>
      <c r="I666" s="35">
        <f t="shared" si="303"/>
        <v>55417.647499999999</v>
      </c>
      <c r="J666" s="35">
        <f t="shared" si="303"/>
        <v>55417.647499999999</v>
      </c>
      <c r="K666" s="35">
        <f t="shared" si="303"/>
        <v>55417.647499999999</v>
      </c>
      <c r="L666" s="35">
        <f t="shared" si="276"/>
        <v>75.914585616438359</v>
      </c>
      <c r="M666" s="35">
        <f t="shared" si="277"/>
        <v>100</v>
      </c>
    </row>
    <row r="667" spans="1:13">
      <c r="A667" s="59" t="s">
        <v>68</v>
      </c>
      <c r="B667" s="28" t="s">
        <v>283</v>
      </c>
      <c r="C667" s="28" t="s">
        <v>46</v>
      </c>
      <c r="D667" s="28" t="s">
        <v>46</v>
      </c>
      <c r="E667" s="28" t="s">
        <v>332</v>
      </c>
      <c r="F667" s="28" t="s">
        <v>69</v>
      </c>
      <c r="G667" s="35">
        <f>G668</f>
        <v>73000</v>
      </c>
      <c r="H667" s="35">
        <f t="shared" si="303"/>
        <v>73000</v>
      </c>
      <c r="I667" s="35">
        <f t="shared" si="303"/>
        <v>55417.647499999999</v>
      </c>
      <c r="J667" s="35">
        <f t="shared" si="303"/>
        <v>55417.647499999999</v>
      </c>
      <c r="K667" s="35">
        <f t="shared" si="303"/>
        <v>55417.647499999999</v>
      </c>
      <c r="L667" s="35">
        <f t="shared" si="276"/>
        <v>75.914585616438359</v>
      </c>
      <c r="M667" s="35">
        <f t="shared" si="277"/>
        <v>100</v>
      </c>
    </row>
    <row r="668" spans="1:13" ht="25.5">
      <c r="A668" s="59" t="s">
        <v>151</v>
      </c>
      <c r="B668" s="28" t="s">
        <v>283</v>
      </c>
      <c r="C668" s="28" t="s">
        <v>46</v>
      </c>
      <c r="D668" s="28" t="s">
        <v>46</v>
      </c>
      <c r="E668" s="28" t="s">
        <v>332</v>
      </c>
      <c r="F668" s="28" t="s">
        <v>152</v>
      </c>
      <c r="G668" s="35">
        <v>73000</v>
      </c>
      <c r="H668" s="35">
        <v>73000</v>
      </c>
      <c r="I668" s="35">
        <v>55417.647499999999</v>
      </c>
      <c r="J668" s="35">
        <v>55417.647499999999</v>
      </c>
      <c r="K668" s="35">
        <v>55417.647499999999</v>
      </c>
      <c r="L668" s="35">
        <f t="shared" si="276"/>
        <v>75.914585616438359</v>
      </c>
      <c r="M668" s="35">
        <f t="shared" si="277"/>
        <v>100</v>
      </c>
    </row>
    <row r="669" spans="1:13" ht="25.5">
      <c r="A669" s="59" t="s">
        <v>284</v>
      </c>
      <c r="B669" s="28" t="s">
        <v>283</v>
      </c>
      <c r="C669" s="28" t="s">
        <v>46</v>
      </c>
      <c r="D669" s="28" t="s">
        <v>46</v>
      </c>
      <c r="E669" s="28" t="s">
        <v>285</v>
      </c>
      <c r="F669" s="58" t="s">
        <v>0</v>
      </c>
      <c r="G669" s="35">
        <f>G673+G682</f>
        <v>75463.299999999988</v>
      </c>
      <c r="H669" s="35">
        <f>H673+H682+H670</f>
        <v>80863.3</v>
      </c>
      <c r="I669" s="35">
        <f>I673+I682+I670</f>
        <v>54055.842229999995</v>
      </c>
      <c r="J669" s="35">
        <f t="shared" ref="J669:K669" si="304">J673+J682+J670</f>
        <v>54055.842229999995</v>
      </c>
      <c r="K669" s="35">
        <f t="shared" si="304"/>
        <v>53841.974849999999</v>
      </c>
      <c r="L669" s="35">
        <f t="shared" si="276"/>
        <v>66.583944570651937</v>
      </c>
      <c r="M669" s="35">
        <f t="shared" si="277"/>
        <v>99.604358435319497</v>
      </c>
    </row>
    <row r="670" spans="1:13" ht="26.25" customHeight="1">
      <c r="A670" s="59" t="s">
        <v>1125</v>
      </c>
      <c r="B670" s="28" t="s">
        <v>283</v>
      </c>
      <c r="C670" s="28" t="s">
        <v>46</v>
      </c>
      <c r="D670" s="28" t="s">
        <v>46</v>
      </c>
      <c r="E670" s="28" t="s">
        <v>1126</v>
      </c>
      <c r="F670" s="58"/>
      <c r="G670" s="35"/>
      <c r="H670" s="35">
        <f>H671</f>
        <v>5400</v>
      </c>
      <c r="I670" s="35">
        <f t="shared" ref="I670:I671" si="305">I671</f>
        <v>5400</v>
      </c>
      <c r="J670" s="35">
        <f t="shared" ref="J670:J671" si="306">J671</f>
        <v>5400</v>
      </c>
      <c r="K670" s="35">
        <f t="shared" ref="K670:K671" si="307">K671</f>
        <v>5400</v>
      </c>
      <c r="L670" s="35">
        <f t="shared" si="276"/>
        <v>100</v>
      </c>
      <c r="M670" s="35">
        <f t="shared" si="277"/>
        <v>100</v>
      </c>
    </row>
    <row r="671" spans="1:13">
      <c r="A671" s="59" t="s">
        <v>68</v>
      </c>
      <c r="B671" s="28" t="s">
        <v>283</v>
      </c>
      <c r="C671" s="28" t="s">
        <v>46</v>
      </c>
      <c r="D671" s="28" t="s">
        <v>46</v>
      </c>
      <c r="E671" s="70" t="s">
        <v>1126</v>
      </c>
      <c r="F671" s="58">
        <v>300</v>
      </c>
      <c r="G671" s="35"/>
      <c r="H671" s="35">
        <f>H672</f>
        <v>5400</v>
      </c>
      <c r="I671" s="35">
        <f t="shared" si="305"/>
        <v>5400</v>
      </c>
      <c r="J671" s="35">
        <f t="shared" si="306"/>
        <v>5400</v>
      </c>
      <c r="K671" s="35">
        <f t="shared" si="307"/>
        <v>5400</v>
      </c>
      <c r="L671" s="35">
        <f t="shared" si="276"/>
        <v>100</v>
      </c>
      <c r="M671" s="35">
        <f t="shared" si="277"/>
        <v>100</v>
      </c>
    </row>
    <row r="672" spans="1:13">
      <c r="A672" s="59" t="s">
        <v>70</v>
      </c>
      <c r="B672" s="28" t="s">
        <v>283</v>
      </c>
      <c r="C672" s="28" t="s">
        <v>46</v>
      </c>
      <c r="D672" s="28" t="s">
        <v>46</v>
      </c>
      <c r="E672" s="70" t="s">
        <v>1126</v>
      </c>
      <c r="F672" s="58">
        <v>360</v>
      </c>
      <c r="G672" s="35"/>
      <c r="H672" s="35">
        <v>5400</v>
      </c>
      <c r="I672" s="35">
        <v>5400</v>
      </c>
      <c r="J672" s="35">
        <v>5400</v>
      </c>
      <c r="K672" s="35">
        <v>5400</v>
      </c>
      <c r="L672" s="35">
        <f t="shared" si="276"/>
        <v>100</v>
      </c>
      <c r="M672" s="35">
        <f t="shared" si="277"/>
        <v>100</v>
      </c>
    </row>
    <row r="673" spans="1:13" ht="25.5">
      <c r="A673" s="59" t="s">
        <v>76</v>
      </c>
      <c r="B673" s="28" t="s">
        <v>283</v>
      </c>
      <c r="C673" s="28" t="s">
        <v>46</v>
      </c>
      <c r="D673" s="28" t="s">
        <v>46</v>
      </c>
      <c r="E673" s="28" t="s">
        <v>286</v>
      </c>
      <c r="F673" s="58" t="s">
        <v>0</v>
      </c>
      <c r="G673" s="35">
        <f>G674+G676+G679</f>
        <v>45663.299999999996</v>
      </c>
      <c r="H673" s="35">
        <f t="shared" ref="H673:J673" si="308">H674+H676+H679</f>
        <v>45663.3</v>
      </c>
      <c r="I673" s="35">
        <f t="shared" si="308"/>
        <v>36848.742229999996</v>
      </c>
      <c r="J673" s="35">
        <f t="shared" si="308"/>
        <v>36848.742229999996</v>
      </c>
      <c r="K673" s="35">
        <f>K674+K676+K679</f>
        <v>36842.287949999998</v>
      </c>
      <c r="L673" s="35">
        <f t="shared" si="276"/>
        <v>80.68249108145929</v>
      </c>
      <c r="M673" s="35">
        <f t="shared" si="277"/>
        <v>99.982484395370378</v>
      </c>
    </row>
    <row r="674" spans="1:13" ht="63.75">
      <c r="A674" s="59" t="s">
        <v>60</v>
      </c>
      <c r="B674" s="28" t="s">
        <v>283</v>
      </c>
      <c r="C674" s="28" t="s">
        <v>46</v>
      </c>
      <c r="D674" s="28" t="s">
        <v>46</v>
      </c>
      <c r="E674" s="28" t="s">
        <v>286</v>
      </c>
      <c r="F674" s="28" t="s">
        <v>61</v>
      </c>
      <c r="G674" s="35">
        <f>G675</f>
        <v>586.1</v>
      </c>
      <c r="H674" s="35">
        <f t="shared" ref="H674:K674" si="309">H675</f>
        <v>1736.25</v>
      </c>
      <c r="I674" s="35">
        <f t="shared" si="309"/>
        <v>645.19000000000005</v>
      </c>
      <c r="J674" s="35">
        <f t="shared" si="309"/>
        <v>645.19000000000005</v>
      </c>
      <c r="K674" s="35">
        <f t="shared" si="309"/>
        <v>639.92751999999996</v>
      </c>
      <c r="L674" s="35">
        <f t="shared" si="276"/>
        <v>36.856876601871846</v>
      </c>
      <c r="M674" s="35">
        <f t="shared" si="277"/>
        <v>99.184351896340601</v>
      </c>
    </row>
    <row r="675" spans="1:13">
      <c r="A675" s="59" t="s">
        <v>78</v>
      </c>
      <c r="B675" s="28" t="s">
        <v>283</v>
      </c>
      <c r="C675" s="28" t="s">
        <v>46</v>
      </c>
      <c r="D675" s="28" t="s">
        <v>46</v>
      </c>
      <c r="E675" s="28" t="s">
        <v>286</v>
      </c>
      <c r="F675" s="28" t="s">
        <v>79</v>
      </c>
      <c r="G675" s="35">
        <v>586.1</v>
      </c>
      <c r="H675" s="35">
        <v>1736.25</v>
      </c>
      <c r="I675" s="35">
        <v>645.19000000000005</v>
      </c>
      <c r="J675" s="35">
        <v>645.19000000000005</v>
      </c>
      <c r="K675" s="35">
        <f>639.92752</f>
        <v>639.92751999999996</v>
      </c>
      <c r="L675" s="35">
        <f t="shared" ref="L675:L738" si="310">K675/H675*100</f>
        <v>36.856876601871846</v>
      </c>
      <c r="M675" s="35">
        <f t="shared" ref="M675:M737" si="311">K675/I675*100</f>
        <v>99.184351896340601</v>
      </c>
    </row>
    <row r="676" spans="1:13">
      <c r="A676" s="59" t="s">
        <v>68</v>
      </c>
      <c r="B676" s="28" t="s">
        <v>283</v>
      </c>
      <c r="C676" s="28" t="s">
        <v>46</v>
      </c>
      <c r="D676" s="28" t="s">
        <v>46</v>
      </c>
      <c r="E676" s="28" t="s">
        <v>286</v>
      </c>
      <c r="F676" s="28" t="s">
        <v>69</v>
      </c>
      <c r="G676" s="35">
        <f>G677+G678</f>
        <v>159.1</v>
      </c>
      <c r="H676" s="35">
        <f t="shared" ref="H676:K676" si="312">H677+H678</f>
        <v>159.1</v>
      </c>
      <c r="I676" s="35">
        <f t="shared" si="312"/>
        <v>126.02499999999999</v>
      </c>
      <c r="J676" s="35">
        <f t="shared" si="312"/>
        <v>126.02499999999999</v>
      </c>
      <c r="K676" s="35">
        <f t="shared" si="312"/>
        <v>124.83319999999999</v>
      </c>
      <c r="L676" s="35">
        <f t="shared" si="310"/>
        <v>78.462099308610931</v>
      </c>
      <c r="M676" s="35">
        <f t="shared" si="311"/>
        <v>99.054314620115065</v>
      </c>
    </row>
    <row r="677" spans="1:13" ht="25.5">
      <c r="A677" s="59" t="s">
        <v>151</v>
      </c>
      <c r="B677" s="28" t="s">
        <v>283</v>
      </c>
      <c r="C677" s="28" t="s">
        <v>46</v>
      </c>
      <c r="D677" s="28" t="s">
        <v>46</v>
      </c>
      <c r="E677" s="28" t="s">
        <v>286</v>
      </c>
      <c r="F677" s="28" t="s">
        <v>152</v>
      </c>
      <c r="G677" s="35">
        <v>106.3</v>
      </c>
      <c r="H677" s="35">
        <v>106.3</v>
      </c>
      <c r="I677" s="35">
        <v>89.724999999999994</v>
      </c>
      <c r="J677" s="35">
        <v>89.724999999999994</v>
      </c>
      <c r="K677" s="35">
        <v>88.533199999999994</v>
      </c>
      <c r="L677" s="35">
        <f t="shared" si="310"/>
        <v>83.286171213546567</v>
      </c>
      <c r="M677" s="35">
        <f t="shared" si="311"/>
        <v>98.671719141822237</v>
      </c>
    </row>
    <row r="678" spans="1:13">
      <c r="A678" s="59" t="s">
        <v>70</v>
      </c>
      <c r="B678" s="28" t="s">
        <v>283</v>
      </c>
      <c r="C678" s="28" t="s">
        <v>46</v>
      </c>
      <c r="D678" s="28" t="s">
        <v>46</v>
      </c>
      <c r="E678" s="28" t="s">
        <v>286</v>
      </c>
      <c r="F678" s="28" t="s">
        <v>71</v>
      </c>
      <c r="G678" s="36">
        <v>52.8</v>
      </c>
      <c r="H678" s="35">
        <v>52.8</v>
      </c>
      <c r="I678" s="35">
        <v>36.299999999999997</v>
      </c>
      <c r="J678" s="35">
        <v>36.299999999999997</v>
      </c>
      <c r="K678" s="35">
        <v>36.299999999999997</v>
      </c>
      <c r="L678" s="35">
        <f t="shared" si="310"/>
        <v>68.75</v>
      </c>
      <c r="M678" s="35">
        <f t="shared" si="311"/>
        <v>100</v>
      </c>
    </row>
    <row r="679" spans="1:13" ht="25.5">
      <c r="A679" s="59" t="s">
        <v>80</v>
      </c>
      <c r="B679" s="28" t="s">
        <v>283</v>
      </c>
      <c r="C679" s="28" t="s">
        <v>46</v>
      </c>
      <c r="D679" s="28" t="s">
        <v>46</v>
      </c>
      <c r="E679" s="28" t="s">
        <v>286</v>
      </c>
      <c r="F679" s="28" t="s">
        <v>81</v>
      </c>
      <c r="G679" s="35">
        <f>G680+G681</f>
        <v>44918.1</v>
      </c>
      <c r="H679" s="35">
        <f t="shared" ref="H679:K679" si="313">H680+H681</f>
        <v>43767.950000000004</v>
      </c>
      <c r="I679" s="35">
        <f t="shared" si="313"/>
        <v>36077.52723</v>
      </c>
      <c r="J679" s="35">
        <f t="shared" si="313"/>
        <v>36077.52723</v>
      </c>
      <c r="K679" s="35">
        <f t="shared" si="313"/>
        <v>36077.52723</v>
      </c>
      <c r="L679" s="35">
        <f t="shared" si="310"/>
        <v>82.429099900726428</v>
      </c>
      <c r="M679" s="35">
        <f t="shared" si="311"/>
        <v>100</v>
      </c>
    </row>
    <row r="680" spans="1:13">
      <c r="A680" s="59" t="s">
        <v>271</v>
      </c>
      <c r="B680" s="28" t="s">
        <v>283</v>
      </c>
      <c r="C680" s="28" t="s">
        <v>46</v>
      </c>
      <c r="D680" s="28" t="s">
        <v>46</v>
      </c>
      <c r="E680" s="28" t="s">
        <v>286</v>
      </c>
      <c r="F680" s="28" t="s">
        <v>272</v>
      </c>
      <c r="G680" s="35">
        <v>44000.7</v>
      </c>
      <c r="H680" s="35">
        <v>42793.65</v>
      </c>
      <c r="I680" s="35">
        <v>35373.977229999997</v>
      </c>
      <c r="J680" s="35">
        <v>35373.977229999997</v>
      </c>
      <c r="K680" s="35">
        <v>35373.977229999997</v>
      </c>
      <c r="L680" s="35">
        <f t="shared" si="310"/>
        <v>82.661743576441822</v>
      </c>
      <c r="M680" s="35">
        <f t="shared" si="311"/>
        <v>100</v>
      </c>
    </row>
    <row r="681" spans="1:13">
      <c r="A681" s="59" t="s">
        <v>82</v>
      </c>
      <c r="B681" s="28" t="s">
        <v>283</v>
      </c>
      <c r="C681" s="28" t="s">
        <v>46</v>
      </c>
      <c r="D681" s="28" t="s">
        <v>46</v>
      </c>
      <c r="E681" s="28" t="s">
        <v>286</v>
      </c>
      <c r="F681" s="28" t="s">
        <v>83</v>
      </c>
      <c r="G681" s="35">
        <v>917.4</v>
      </c>
      <c r="H681" s="35">
        <v>974.3</v>
      </c>
      <c r="I681" s="35">
        <v>703.55</v>
      </c>
      <c r="J681" s="35">
        <v>703.55</v>
      </c>
      <c r="K681" s="35">
        <v>703.55</v>
      </c>
      <c r="L681" s="35">
        <f t="shared" si="310"/>
        <v>72.21081802319614</v>
      </c>
      <c r="M681" s="35">
        <f t="shared" si="311"/>
        <v>100</v>
      </c>
    </row>
    <row r="682" spans="1:13">
      <c r="A682" s="59" t="s">
        <v>303</v>
      </c>
      <c r="B682" s="28" t="s">
        <v>283</v>
      </c>
      <c r="C682" s="28" t="s">
        <v>46</v>
      </c>
      <c r="D682" s="28" t="s">
        <v>46</v>
      </c>
      <c r="E682" s="28" t="s">
        <v>333</v>
      </c>
      <c r="F682" s="58" t="s">
        <v>0</v>
      </c>
      <c r="G682" s="35">
        <f>G683+G685</f>
        <v>29800</v>
      </c>
      <c r="H682" s="35">
        <f t="shared" ref="H682:K682" si="314">H683+H685</f>
        <v>29800</v>
      </c>
      <c r="I682" s="35">
        <f t="shared" si="314"/>
        <v>11807.1</v>
      </c>
      <c r="J682" s="35">
        <f t="shared" si="314"/>
        <v>11807.1</v>
      </c>
      <c r="K682" s="35">
        <f t="shared" si="314"/>
        <v>11599.686900000001</v>
      </c>
      <c r="L682" s="35">
        <f t="shared" si="310"/>
        <v>38.925123825503363</v>
      </c>
      <c r="M682" s="35">
        <f t="shared" si="311"/>
        <v>98.243318850522144</v>
      </c>
    </row>
    <row r="683" spans="1:13" ht="25.5">
      <c r="A683" s="59" t="s">
        <v>64</v>
      </c>
      <c r="B683" s="28" t="s">
        <v>283</v>
      </c>
      <c r="C683" s="28" t="s">
        <v>46</v>
      </c>
      <c r="D683" s="28" t="s">
        <v>46</v>
      </c>
      <c r="E683" s="28" t="s">
        <v>333</v>
      </c>
      <c r="F683" s="28" t="s">
        <v>65</v>
      </c>
      <c r="G683" s="35">
        <f>G684</f>
        <v>3900</v>
      </c>
      <c r="H683" s="35">
        <f t="shared" ref="H683:K683" si="315">H684</f>
        <v>3900</v>
      </c>
      <c r="I683" s="35">
        <f t="shared" si="315"/>
        <v>2256.1</v>
      </c>
      <c r="J683" s="35">
        <f t="shared" si="315"/>
        <v>2256.1</v>
      </c>
      <c r="K683" s="35">
        <f t="shared" si="315"/>
        <v>2099.6869000000002</v>
      </c>
      <c r="L683" s="35">
        <f t="shared" si="310"/>
        <v>53.838125641025648</v>
      </c>
      <c r="M683" s="35">
        <f t="shared" si="311"/>
        <v>93.067102522051343</v>
      </c>
    </row>
    <row r="684" spans="1:13" ht="25.5">
      <c r="A684" s="59" t="s">
        <v>66</v>
      </c>
      <c r="B684" s="28" t="s">
        <v>283</v>
      </c>
      <c r="C684" s="28" t="s">
        <v>46</v>
      </c>
      <c r="D684" s="28" t="s">
        <v>46</v>
      </c>
      <c r="E684" s="28" t="s">
        <v>333</v>
      </c>
      <c r="F684" s="28" t="s">
        <v>67</v>
      </c>
      <c r="G684" s="35">
        <v>3900</v>
      </c>
      <c r="H684" s="35">
        <v>3900</v>
      </c>
      <c r="I684" s="35">
        <v>2256.1</v>
      </c>
      <c r="J684" s="35">
        <v>2256.1</v>
      </c>
      <c r="K684" s="35">
        <v>2099.6869000000002</v>
      </c>
      <c r="L684" s="35">
        <f t="shared" si="310"/>
        <v>53.838125641025648</v>
      </c>
      <c r="M684" s="35">
        <f t="shared" si="311"/>
        <v>93.067102522051343</v>
      </c>
    </row>
    <row r="685" spans="1:13">
      <c r="A685" s="59" t="s">
        <v>68</v>
      </c>
      <c r="B685" s="28" t="s">
        <v>283</v>
      </c>
      <c r="C685" s="28" t="s">
        <v>46</v>
      </c>
      <c r="D685" s="28" t="s">
        <v>46</v>
      </c>
      <c r="E685" s="28" t="s">
        <v>333</v>
      </c>
      <c r="F685" s="28" t="s">
        <v>69</v>
      </c>
      <c r="G685" s="35">
        <f>G686+G687</f>
        <v>25900</v>
      </c>
      <c r="H685" s="35">
        <f t="shared" ref="H685:K685" si="316">H686+H687</f>
        <v>25900</v>
      </c>
      <c r="I685" s="35">
        <f t="shared" si="316"/>
        <v>9551</v>
      </c>
      <c r="J685" s="35">
        <f t="shared" si="316"/>
        <v>9551</v>
      </c>
      <c r="K685" s="35">
        <f t="shared" si="316"/>
        <v>9500</v>
      </c>
      <c r="L685" s="35">
        <f t="shared" si="310"/>
        <v>36.679536679536682</v>
      </c>
      <c r="M685" s="35">
        <f t="shared" si="311"/>
        <v>99.466024500052356</v>
      </c>
    </row>
    <row r="686" spans="1:13" ht="25.5">
      <c r="A686" s="59" t="s">
        <v>151</v>
      </c>
      <c r="B686" s="28" t="s">
        <v>283</v>
      </c>
      <c r="C686" s="28" t="s">
        <v>46</v>
      </c>
      <c r="D686" s="28" t="s">
        <v>46</v>
      </c>
      <c r="E686" s="28" t="s">
        <v>333</v>
      </c>
      <c r="F686" s="28" t="s">
        <v>152</v>
      </c>
      <c r="G686" s="35">
        <v>5000</v>
      </c>
      <c r="H686" s="35">
        <v>5000</v>
      </c>
      <c r="I686" s="35">
        <v>2950</v>
      </c>
      <c r="J686" s="35">
        <v>2950</v>
      </c>
      <c r="K686" s="35">
        <v>2950</v>
      </c>
      <c r="L686" s="35">
        <f t="shared" si="310"/>
        <v>59</v>
      </c>
      <c r="M686" s="35">
        <f t="shared" si="311"/>
        <v>100</v>
      </c>
    </row>
    <row r="687" spans="1:13">
      <c r="A687" s="59" t="s">
        <v>70</v>
      </c>
      <c r="B687" s="28" t="s">
        <v>283</v>
      </c>
      <c r="C687" s="28" t="s">
        <v>46</v>
      </c>
      <c r="D687" s="28" t="s">
        <v>46</v>
      </c>
      <c r="E687" s="28" t="s">
        <v>333</v>
      </c>
      <c r="F687" s="28" t="s">
        <v>71</v>
      </c>
      <c r="G687" s="35">
        <v>20900</v>
      </c>
      <c r="H687" s="35">
        <v>20900</v>
      </c>
      <c r="I687" s="35">
        <v>6601</v>
      </c>
      <c r="J687" s="35">
        <v>6601</v>
      </c>
      <c r="K687" s="35">
        <v>6550</v>
      </c>
      <c r="L687" s="35">
        <f t="shared" si="310"/>
        <v>31.33971291866029</v>
      </c>
      <c r="M687" s="35">
        <f t="shared" si="311"/>
        <v>99.227389789425843</v>
      </c>
    </row>
    <row r="688" spans="1:13" ht="38.25">
      <c r="A688" s="59" t="s">
        <v>309</v>
      </c>
      <c r="B688" s="28" t="s">
        <v>283</v>
      </c>
      <c r="C688" s="28" t="s">
        <v>46</v>
      </c>
      <c r="D688" s="28" t="s">
        <v>46</v>
      </c>
      <c r="E688" s="28" t="s">
        <v>310</v>
      </c>
      <c r="F688" s="58" t="s">
        <v>0</v>
      </c>
      <c r="G688" s="35">
        <f>G689+G692+G695</f>
        <v>42680.2</v>
      </c>
      <c r="H688" s="35">
        <f t="shared" ref="H688:K688" si="317">H689+H692+H695</f>
        <v>42680.2</v>
      </c>
      <c r="I688" s="35">
        <f t="shared" si="317"/>
        <v>39304.800000000003</v>
      </c>
      <c r="J688" s="35">
        <f t="shared" si="317"/>
        <v>39304.800000000003</v>
      </c>
      <c r="K688" s="35">
        <f t="shared" si="317"/>
        <v>39304.800000000003</v>
      </c>
      <c r="L688" s="35">
        <f t="shared" si="310"/>
        <v>92.091414754382612</v>
      </c>
      <c r="M688" s="35">
        <f t="shared" si="311"/>
        <v>100</v>
      </c>
    </row>
    <row r="689" spans="1:13" ht="102">
      <c r="A689" s="59" t="s">
        <v>334</v>
      </c>
      <c r="B689" s="28" t="s">
        <v>283</v>
      </c>
      <c r="C689" s="28" t="s">
        <v>46</v>
      </c>
      <c r="D689" s="28" t="s">
        <v>46</v>
      </c>
      <c r="E689" s="28" t="s">
        <v>335</v>
      </c>
      <c r="F689" s="58" t="s">
        <v>0</v>
      </c>
      <c r="G689" s="35">
        <f>G690</f>
        <v>5697.4</v>
      </c>
      <c r="H689" s="35">
        <f t="shared" ref="H689:K690" si="318">H690</f>
        <v>5697.4</v>
      </c>
      <c r="I689" s="35">
        <f t="shared" si="318"/>
        <v>5127.7</v>
      </c>
      <c r="J689" s="35">
        <f t="shared" si="318"/>
        <v>5127.7</v>
      </c>
      <c r="K689" s="35">
        <f t="shared" si="318"/>
        <v>5127.7</v>
      </c>
      <c r="L689" s="35">
        <f t="shared" si="310"/>
        <v>90.000702074630539</v>
      </c>
      <c r="M689" s="35">
        <f t="shared" si="311"/>
        <v>100</v>
      </c>
    </row>
    <row r="690" spans="1:13" ht="25.5">
      <c r="A690" s="59" t="s">
        <v>64</v>
      </c>
      <c r="B690" s="28" t="s">
        <v>283</v>
      </c>
      <c r="C690" s="28" t="s">
        <v>46</v>
      </c>
      <c r="D690" s="28" t="s">
        <v>46</v>
      </c>
      <c r="E690" s="28" t="s">
        <v>335</v>
      </c>
      <c r="F690" s="28" t="s">
        <v>65</v>
      </c>
      <c r="G690" s="35">
        <f>G691</f>
        <v>5697.4</v>
      </c>
      <c r="H690" s="35">
        <f t="shared" si="318"/>
        <v>5697.4</v>
      </c>
      <c r="I690" s="35">
        <f t="shared" si="318"/>
        <v>5127.7</v>
      </c>
      <c r="J690" s="35">
        <f t="shared" si="318"/>
        <v>5127.7</v>
      </c>
      <c r="K690" s="35">
        <f t="shared" si="318"/>
        <v>5127.7</v>
      </c>
      <c r="L690" s="35">
        <f t="shared" si="310"/>
        <v>90.000702074630539</v>
      </c>
      <c r="M690" s="35">
        <f t="shared" si="311"/>
        <v>100</v>
      </c>
    </row>
    <row r="691" spans="1:13" ht="25.5">
      <c r="A691" s="59" t="s">
        <v>66</v>
      </c>
      <c r="B691" s="28" t="s">
        <v>283</v>
      </c>
      <c r="C691" s="28" t="s">
        <v>46</v>
      </c>
      <c r="D691" s="28" t="s">
        <v>46</v>
      </c>
      <c r="E691" s="28" t="s">
        <v>335</v>
      </c>
      <c r="F691" s="28" t="s">
        <v>67</v>
      </c>
      <c r="G691" s="35">
        <v>5697.4</v>
      </c>
      <c r="H691" s="35">
        <v>5697.4</v>
      </c>
      <c r="I691" s="35">
        <v>5127.7</v>
      </c>
      <c r="J691" s="35">
        <v>5127.7</v>
      </c>
      <c r="K691" s="35">
        <v>5127.7</v>
      </c>
      <c r="L691" s="35">
        <f t="shared" si="310"/>
        <v>90.000702074630539</v>
      </c>
      <c r="M691" s="35">
        <f t="shared" si="311"/>
        <v>100</v>
      </c>
    </row>
    <row r="692" spans="1:13" ht="114.75">
      <c r="A692" s="59" t="s">
        <v>336</v>
      </c>
      <c r="B692" s="28" t="s">
        <v>283</v>
      </c>
      <c r="C692" s="28" t="s">
        <v>46</v>
      </c>
      <c r="D692" s="28" t="s">
        <v>46</v>
      </c>
      <c r="E692" s="28" t="s">
        <v>337</v>
      </c>
      <c r="F692" s="58" t="s">
        <v>0</v>
      </c>
      <c r="G692" s="35">
        <f>G693</f>
        <v>7982.8</v>
      </c>
      <c r="H692" s="35">
        <f t="shared" ref="H692:K693" si="319">H693</f>
        <v>7982.8</v>
      </c>
      <c r="I692" s="35">
        <f t="shared" si="319"/>
        <v>6319.9</v>
      </c>
      <c r="J692" s="35">
        <f t="shared" si="319"/>
        <v>6319.9</v>
      </c>
      <c r="K692" s="35">
        <f t="shared" si="319"/>
        <v>6319.9</v>
      </c>
      <c r="L692" s="35">
        <f t="shared" si="310"/>
        <v>79.168963271032709</v>
      </c>
      <c r="M692" s="35">
        <f t="shared" si="311"/>
        <v>100</v>
      </c>
    </row>
    <row r="693" spans="1:13" ht="25.5">
      <c r="A693" s="59" t="s">
        <v>80</v>
      </c>
      <c r="B693" s="28" t="s">
        <v>283</v>
      </c>
      <c r="C693" s="28" t="s">
        <v>46</v>
      </c>
      <c r="D693" s="28" t="s">
        <v>46</v>
      </c>
      <c r="E693" s="28" t="s">
        <v>337</v>
      </c>
      <c r="F693" s="28" t="s">
        <v>81</v>
      </c>
      <c r="G693" s="35">
        <f>G694</f>
        <v>7982.8</v>
      </c>
      <c r="H693" s="35">
        <f t="shared" si="319"/>
        <v>7982.8</v>
      </c>
      <c r="I693" s="35">
        <f t="shared" si="319"/>
        <v>6319.9</v>
      </c>
      <c r="J693" s="35">
        <f t="shared" si="319"/>
        <v>6319.9</v>
      </c>
      <c r="K693" s="35">
        <f t="shared" si="319"/>
        <v>6319.9</v>
      </c>
      <c r="L693" s="35">
        <f t="shared" si="310"/>
        <v>79.168963271032709</v>
      </c>
      <c r="M693" s="35">
        <f t="shared" si="311"/>
        <v>100</v>
      </c>
    </row>
    <row r="694" spans="1:13">
      <c r="A694" s="59" t="s">
        <v>271</v>
      </c>
      <c r="B694" s="28" t="s">
        <v>283</v>
      </c>
      <c r="C694" s="28" t="s">
        <v>46</v>
      </c>
      <c r="D694" s="28" t="s">
        <v>46</v>
      </c>
      <c r="E694" s="28" t="s">
        <v>337</v>
      </c>
      <c r="F694" s="28" t="s">
        <v>272</v>
      </c>
      <c r="G694" s="35">
        <v>7982.8</v>
      </c>
      <c r="H694" s="35">
        <v>7982.8</v>
      </c>
      <c r="I694" s="35">
        <v>6319.9</v>
      </c>
      <c r="J694" s="35">
        <v>6319.9</v>
      </c>
      <c r="K694" s="35">
        <v>6319.9</v>
      </c>
      <c r="L694" s="35">
        <f t="shared" si="310"/>
        <v>79.168963271032709</v>
      </c>
      <c r="M694" s="35">
        <f t="shared" si="311"/>
        <v>100</v>
      </c>
    </row>
    <row r="695" spans="1:13">
      <c r="A695" s="59" t="s">
        <v>303</v>
      </c>
      <c r="B695" s="28" t="s">
        <v>283</v>
      </c>
      <c r="C695" s="28" t="s">
        <v>46</v>
      </c>
      <c r="D695" s="28" t="s">
        <v>46</v>
      </c>
      <c r="E695" s="28" t="s">
        <v>338</v>
      </c>
      <c r="F695" s="58" t="s">
        <v>0</v>
      </c>
      <c r="G695" s="35">
        <f>G696</f>
        <v>29000</v>
      </c>
      <c r="H695" s="35">
        <f t="shared" ref="H695:K696" si="320">H696</f>
        <v>29000</v>
      </c>
      <c r="I695" s="35">
        <f t="shared" si="320"/>
        <v>27857.200000000001</v>
      </c>
      <c r="J695" s="35">
        <f t="shared" si="320"/>
        <v>27857.200000000001</v>
      </c>
      <c r="K695" s="35">
        <f t="shared" si="320"/>
        <v>27857.200000000001</v>
      </c>
      <c r="L695" s="35">
        <f t="shared" si="310"/>
        <v>96.05931034482758</v>
      </c>
      <c r="M695" s="35">
        <f t="shared" si="311"/>
        <v>100</v>
      </c>
    </row>
    <row r="696" spans="1:13" ht="25.5">
      <c r="A696" s="59" t="s">
        <v>64</v>
      </c>
      <c r="B696" s="28" t="s">
        <v>283</v>
      </c>
      <c r="C696" s="28" t="s">
        <v>46</v>
      </c>
      <c r="D696" s="28" t="s">
        <v>46</v>
      </c>
      <c r="E696" s="28" t="s">
        <v>338</v>
      </c>
      <c r="F696" s="28" t="s">
        <v>65</v>
      </c>
      <c r="G696" s="35">
        <f>G697</f>
        <v>29000</v>
      </c>
      <c r="H696" s="35">
        <f t="shared" si="320"/>
        <v>29000</v>
      </c>
      <c r="I696" s="35">
        <f t="shared" si="320"/>
        <v>27857.200000000001</v>
      </c>
      <c r="J696" s="35">
        <f t="shared" si="320"/>
        <v>27857.200000000001</v>
      </c>
      <c r="K696" s="35">
        <f t="shared" si="320"/>
        <v>27857.200000000001</v>
      </c>
      <c r="L696" s="35">
        <f t="shared" si="310"/>
        <v>96.05931034482758</v>
      </c>
      <c r="M696" s="35">
        <f t="shared" si="311"/>
        <v>100</v>
      </c>
    </row>
    <row r="697" spans="1:13" ht="25.5">
      <c r="A697" s="59" t="s">
        <v>66</v>
      </c>
      <c r="B697" s="28" t="s">
        <v>283</v>
      </c>
      <c r="C697" s="28" t="s">
        <v>46</v>
      </c>
      <c r="D697" s="28" t="s">
        <v>46</v>
      </c>
      <c r="E697" s="28" t="s">
        <v>338</v>
      </c>
      <c r="F697" s="28" t="s">
        <v>67</v>
      </c>
      <c r="G697" s="35">
        <v>29000</v>
      </c>
      <c r="H697" s="35">
        <v>29000</v>
      </c>
      <c r="I697" s="35">
        <v>27857.200000000001</v>
      </c>
      <c r="J697" s="35">
        <v>27857.200000000001</v>
      </c>
      <c r="K697" s="35">
        <v>27857.200000000001</v>
      </c>
      <c r="L697" s="35">
        <f t="shared" si="310"/>
        <v>96.05931034482758</v>
      </c>
      <c r="M697" s="35">
        <f t="shared" si="311"/>
        <v>100</v>
      </c>
    </row>
    <row r="698" spans="1:13" ht="38.25">
      <c r="A698" s="59" t="s">
        <v>138</v>
      </c>
      <c r="B698" s="28" t="s">
        <v>283</v>
      </c>
      <c r="C698" s="28" t="s">
        <v>46</v>
      </c>
      <c r="D698" s="28" t="s">
        <v>46</v>
      </c>
      <c r="E698" s="28" t="s">
        <v>139</v>
      </c>
      <c r="F698" s="58" t="s">
        <v>0</v>
      </c>
      <c r="G698" s="35">
        <f>G699+G704+G714+G723</f>
        <v>8077108.9000000004</v>
      </c>
      <c r="H698" s="35">
        <f>H699+H704+H714+H723+H726</f>
        <v>8082855.5684800008</v>
      </c>
      <c r="I698" s="35">
        <f t="shared" ref="I698:K698" si="321">I699+I704+I714+I723+I726</f>
        <v>6051153.4279399998</v>
      </c>
      <c r="J698" s="35">
        <f t="shared" si="321"/>
        <v>6051153.4279399998</v>
      </c>
      <c r="K698" s="35">
        <f t="shared" si="321"/>
        <v>6042249.5333000002</v>
      </c>
      <c r="L698" s="35">
        <f t="shared" si="310"/>
        <v>74.753897086351856</v>
      </c>
      <c r="M698" s="35">
        <f t="shared" si="311"/>
        <v>99.852856240615424</v>
      </c>
    </row>
    <row r="699" spans="1:13" ht="89.25">
      <c r="A699" s="59" t="s">
        <v>339</v>
      </c>
      <c r="B699" s="28" t="s">
        <v>283</v>
      </c>
      <c r="C699" s="28" t="s">
        <v>46</v>
      </c>
      <c r="D699" s="28" t="s">
        <v>46</v>
      </c>
      <c r="E699" s="28" t="s">
        <v>340</v>
      </c>
      <c r="F699" s="58" t="s">
        <v>0</v>
      </c>
      <c r="G699" s="35">
        <f>G700+G702</f>
        <v>4389.1000000000004</v>
      </c>
      <c r="H699" s="35">
        <f t="shared" ref="H699:K699" si="322">H700+H702</f>
        <v>4389.1000000000004</v>
      </c>
      <c r="I699" s="35">
        <f t="shared" si="322"/>
        <v>3453.1881700000004</v>
      </c>
      <c r="J699" s="35">
        <f t="shared" si="322"/>
        <v>3453.1881700000004</v>
      </c>
      <c r="K699" s="35">
        <f t="shared" si="322"/>
        <v>3453.1881700000004</v>
      </c>
      <c r="L699" s="35">
        <f t="shared" si="310"/>
        <v>78.676452347861741</v>
      </c>
      <c r="M699" s="35">
        <f t="shared" si="311"/>
        <v>100</v>
      </c>
    </row>
    <row r="700" spans="1:13" ht="63.75">
      <c r="A700" s="59" t="s">
        <v>60</v>
      </c>
      <c r="B700" s="28" t="s">
        <v>283</v>
      </c>
      <c r="C700" s="28" t="s">
        <v>46</v>
      </c>
      <c r="D700" s="28" t="s">
        <v>46</v>
      </c>
      <c r="E700" s="28" t="s">
        <v>340</v>
      </c>
      <c r="F700" s="28" t="s">
        <v>61</v>
      </c>
      <c r="G700" s="35">
        <f>G701</f>
        <v>3942.5</v>
      </c>
      <c r="H700" s="35">
        <f t="shared" ref="H700:K700" si="323">H701</f>
        <v>3942.5</v>
      </c>
      <c r="I700" s="35">
        <f t="shared" si="323"/>
        <v>3115.1201700000001</v>
      </c>
      <c r="J700" s="35">
        <f t="shared" si="323"/>
        <v>3115.1201700000001</v>
      </c>
      <c r="K700" s="35">
        <f t="shared" si="323"/>
        <v>3115.1201700000001</v>
      </c>
      <c r="L700" s="35">
        <f t="shared" si="310"/>
        <v>79.013828027901084</v>
      </c>
      <c r="M700" s="35">
        <f t="shared" si="311"/>
        <v>100</v>
      </c>
    </row>
    <row r="701" spans="1:13" ht="25.5">
      <c r="A701" s="59" t="s">
        <v>62</v>
      </c>
      <c r="B701" s="28" t="s">
        <v>283</v>
      </c>
      <c r="C701" s="28" t="s">
        <v>46</v>
      </c>
      <c r="D701" s="28" t="s">
        <v>46</v>
      </c>
      <c r="E701" s="28" t="s">
        <v>340</v>
      </c>
      <c r="F701" s="28" t="s">
        <v>63</v>
      </c>
      <c r="G701" s="35">
        <v>3942.5</v>
      </c>
      <c r="H701" s="35">
        <f>2846.775+236+859.725</f>
        <v>3942.5</v>
      </c>
      <c r="I701" s="35">
        <f>2227.44016+229.932+657.74801</f>
        <v>3115.1201700000001</v>
      </c>
      <c r="J701" s="35">
        <f>2227.44016+229.932+657.74801</f>
        <v>3115.1201700000001</v>
      </c>
      <c r="K701" s="35">
        <f>2227.44016+229.932+657.74801</f>
        <v>3115.1201700000001</v>
      </c>
      <c r="L701" s="35">
        <f t="shared" si="310"/>
        <v>79.013828027901084</v>
      </c>
      <c r="M701" s="35">
        <f t="shared" si="311"/>
        <v>100</v>
      </c>
    </row>
    <row r="702" spans="1:13" ht="25.5">
      <c r="A702" s="59" t="s">
        <v>64</v>
      </c>
      <c r="B702" s="28" t="s">
        <v>283</v>
      </c>
      <c r="C702" s="28" t="s">
        <v>46</v>
      </c>
      <c r="D702" s="28" t="s">
        <v>46</v>
      </c>
      <c r="E702" s="28" t="s">
        <v>340</v>
      </c>
      <c r="F702" s="28" t="s">
        <v>65</v>
      </c>
      <c r="G702" s="35">
        <f>G703</f>
        <v>446.6</v>
      </c>
      <c r="H702" s="35">
        <f t="shared" ref="H702:K702" si="324">H703</f>
        <v>446.6</v>
      </c>
      <c r="I702" s="35">
        <f t="shared" si="324"/>
        <v>338.06799999999998</v>
      </c>
      <c r="J702" s="35">
        <f t="shared" si="324"/>
        <v>338.06799999999998</v>
      </c>
      <c r="K702" s="35">
        <f t="shared" si="324"/>
        <v>338.06799999999998</v>
      </c>
      <c r="L702" s="35">
        <f t="shared" si="310"/>
        <v>75.69816390506044</v>
      </c>
      <c r="M702" s="35">
        <f t="shared" si="311"/>
        <v>100</v>
      </c>
    </row>
    <row r="703" spans="1:13" ht="25.5">
      <c r="A703" s="59" t="s">
        <v>66</v>
      </c>
      <c r="B703" s="28" t="s">
        <v>283</v>
      </c>
      <c r="C703" s="28" t="s">
        <v>46</v>
      </c>
      <c r="D703" s="28" t="s">
        <v>46</v>
      </c>
      <c r="E703" s="28" t="s">
        <v>340</v>
      </c>
      <c r="F703" s="28" t="s">
        <v>67</v>
      </c>
      <c r="G703" s="35">
        <v>446.6</v>
      </c>
      <c r="H703" s="35">
        <v>446.6</v>
      </c>
      <c r="I703" s="35">
        <v>338.06799999999998</v>
      </c>
      <c r="J703" s="35">
        <v>338.06799999999998</v>
      </c>
      <c r="K703" s="35">
        <v>338.06799999999998</v>
      </c>
      <c r="L703" s="35">
        <f t="shared" si="310"/>
        <v>75.69816390506044</v>
      </c>
      <c r="M703" s="35">
        <f t="shared" si="311"/>
        <v>100</v>
      </c>
    </row>
    <row r="704" spans="1:13" ht="25.5">
      <c r="A704" s="59" t="s">
        <v>58</v>
      </c>
      <c r="B704" s="28" t="s">
        <v>283</v>
      </c>
      <c r="C704" s="28" t="s">
        <v>46</v>
      </c>
      <c r="D704" s="28" t="s">
        <v>46</v>
      </c>
      <c r="E704" s="28" t="s">
        <v>341</v>
      </c>
      <c r="F704" s="58" t="s">
        <v>0</v>
      </c>
      <c r="G704" s="35">
        <f>G705+G707+G709+G711</f>
        <v>84966.900000000009</v>
      </c>
      <c r="H704" s="35">
        <f t="shared" ref="H704:K704" si="325">H705+H707+H709+H711</f>
        <v>84966.900000000009</v>
      </c>
      <c r="I704" s="35">
        <f t="shared" si="325"/>
        <v>67043.577999999994</v>
      </c>
      <c r="J704" s="35">
        <f t="shared" si="325"/>
        <v>67043.577999999994</v>
      </c>
      <c r="K704" s="35">
        <f t="shared" si="325"/>
        <v>58828.543859999991</v>
      </c>
      <c r="L704" s="35">
        <f t="shared" si="310"/>
        <v>69.237013307535037</v>
      </c>
      <c r="M704" s="35">
        <f t="shared" si="311"/>
        <v>87.746724764600117</v>
      </c>
    </row>
    <row r="705" spans="1:13" ht="63.75">
      <c r="A705" s="59" t="s">
        <v>60</v>
      </c>
      <c r="B705" s="28" t="s">
        <v>283</v>
      </c>
      <c r="C705" s="28" t="s">
        <v>46</v>
      </c>
      <c r="D705" s="28" t="s">
        <v>46</v>
      </c>
      <c r="E705" s="28" t="s">
        <v>341</v>
      </c>
      <c r="F705" s="28" t="s">
        <v>61</v>
      </c>
      <c r="G705" s="35">
        <f>G706</f>
        <v>81266.8</v>
      </c>
      <c r="H705" s="35">
        <f t="shared" ref="H705:K705" si="326">H706</f>
        <v>81266.8</v>
      </c>
      <c r="I705" s="35">
        <f t="shared" si="326"/>
        <v>64273.5</v>
      </c>
      <c r="J705" s="35">
        <f t="shared" si="326"/>
        <v>64273.5</v>
      </c>
      <c r="K705" s="35">
        <f t="shared" si="326"/>
        <v>56553.010709999995</v>
      </c>
      <c r="L705" s="35">
        <f t="shared" si="310"/>
        <v>69.589316559775938</v>
      </c>
      <c r="M705" s="35">
        <f t="shared" si="311"/>
        <v>87.988067726201308</v>
      </c>
    </row>
    <row r="706" spans="1:13" ht="25.5">
      <c r="A706" s="59" t="s">
        <v>62</v>
      </c>
      <c r="B706" s="28" t="s">
        <v>283</v>
      </c>
      <c r="C706" s="28" t="s">
        <v>46</v>
      </c>
      <c r="D706" s="28" t="s">
        <v>46</v>
      </c>
      <c r="E706" s="28" t="s">
        <v>341</v>
      </c>
      <c r="F706" s="28" t="s">
        <v>63</v>
      </c>
      <c r="G706" s="35">
        <v>81266.8</v>
      </c>
      <c r="H706" s="35">
        <f>60089.3+3498+17679.5</f>
        <v>81266.8</v>
      </c>
      <c r="I706" s="35">
        <f>47859.2+2622.5+13791.8</f>
        <v>64273.5</v>
      </c>
      <c r="J706" s="35">
        <f>47859.2+2622.5+13791.8</f>
        <v>64273.5</v>
      </c>
      <c r="K706" s="35">
        <f>41354.31806+2394.26169+12804.43096</f>
        <v>56553.010709999995</v>
      </c>
      <c r="L706" s="35">
        <f t="shared" si="310"/>
        <v>69.589316559775938</v>
      </c>
      <c r="M706" s="35">
        <f t="shared" si="311"/>
        <v>87.988067726201308</v>
      </c>
    </row>
    <row r="707" spans="1:13" ht="25.5">
      <c r="A707" s="59" t="s">
        <v>64</v>
      </c>
      <c r="B707" s="28" t="s">
        <v>283</v>
      </c>
      <c r="C707" s="28" t="s">
        <v>46</v>
      </c>
      <c r="D707" s="28" t="s">
        <v>46</v>
      </c>
      <c r="E707" s="28" t="s">
        <v>341</v>
      </c>
      <c r="F707" s="28" t="s">
        <v>65</v>
      </c>
      <c r="G707" s="35">
        <f>G708</f>
        <v>3522.1</v>
      </c>
      <c r="H707" s="35">
        <f t="shared" ref="H707:K707" si="327">H708</f>
        <v>3522.1</v>
      </c>
      <c r="I707" s="35">
        <f t="shared" si="327"/>
        <v>2681.578</v>
      </c>
      <c r="J707" s="35">
        <f t="shared" si="327"/>
        <v>2681.578</v>
      </c>
      <c r="K707" s="35">
        <f t="shared" si="327"/>
        <v>2210.4331499999998</v>
      </c>
      <c r="L707" s="35">
        <f t="shared" si="310"/>
        <v>62.758954884869823</v>
      </c>
      <c r="M707" s="35">
        <f t="shared" si="311"/>
        <v>82.43031341993408</v>
      </c>
    </row>
    <row r="708" spans="1:13" ht="25.5">
      <c r="A708" s="59" t="s">
        <v>66</v>
      </c>
      <c r="B708" s="28" t="s">
        <v>283</v>
      </c>
      <c r="C708" s="28" t="s">
        <v>46</v>
      </c>
      <c r="D708" s="28" t="s">
        <v>46</v>
      </c>
      <c r="E708" s="28" t="s">
        <v>341</v>
      </c>
      <c r="F708" s="28" t="s">
        <v>67</v>
      </c>
      <c r="G708" s="35">
        <v>3522.1</v>
      </c>
      <c r="H708" s="35">
        <v>3522.1</v>
      </c>
      <c r="I708" s="35">
        <v>2681.578</v>
      </c>
      <c r="J708" s="35">
        <v>2681.578</v>
      </c>
      <c r="K708" s="35">
        <v>2210.4331499999998</v>
      </c>
      <c r="L708" s="35">
        <f t="shared" si="310"/>
        <v>62.758954884869823</v>
      </c>
      <c r="M708" s="35">
        <f t="shared" si="311"/>
        <v>82.43031341993408</v>
      </c>
    </row>
    <row r="709" spans="1:13">
      <c r="A709" s="59" t="s">
        <v>68</v>
      </c>
      <c r="B709" s="28" t="s">
        <v>283</v>
      </c>
      <c r="C709" s="28" t="s">
        <v>46</v>
      </c>
      <c r="D709" s="28" t="s">
        <v>46</v>
      </c>
      <c r="E709" s="28" t="s">
        <v>341</v>
      </c>
      <c r="F709" s="28" t="s">
        <v>69</v>
      </c>
      <c r="G709" s="35">
        <f>G710</f>
        <v>60</v>
      </c>
      <c r="H709" s="35">
        <f t="shared" ref="H709:K709" si="328">H710</f>
        <v>60</v>
      </c>
      <c r="I709" s="35">
        <f t="shared" si="328"/>
        <v>60</v>
      </c>
      <c r="J709" s="35">
        <f t="shared" si="328"/>
        <v>60</v>
      </c>
      <c r="K709" s="35">
        <f t="shared" si="328"/>
        <v>60</v>
      </c>
      <c r="L709" s="35">
        <f t="shared" si="310"/>
        <v>100</v>
      </c>
      <c r="M709" s="35">
        <f t="shared" si="311"/>
        <v>100</v>
      </c>
    </row>
    <row r="710" spans="1:13">
      <c r="A710" s="59" t="s">
        <v>70</v>
      </c>
      <c r="B710" s="28" t="s">
        <v>283</v>
      </c>
      <c r="C710" s="28" t="s">
        <v>46</v>
      </c>
      <c r="D710" s="28" t="s">
        <v>46</v>
      </c>
      <c r="E710" s="28" t="s">
        <v>341</v>
      </c>
      <c r="F710" s="28" t="s">
        <v>71</v>
      </c>
      <c r="G710" s="35">
        <v>60</v>
      </c>
      <c r="H710" s="35">
        <v>60</v>
      </c>
      <c r="I710" s="35">
        <v>60</v>
      </c>
      <c r="J710" s="35">
        <v>60</v>
      </c>
      <c r="K710" s="35">
        <v>60</v>
      </c>
      <c r="L710" s="35">
        <f t="shared" si="310"/>
        <v>100</v>
      </c>
      <c r="M710" s="35">
        <f t="shared" si="311"/>
        <v>100</v>
      </c>
    </row>
    <row r="711" spans="1:13">
      <c r="A711" s="59" t="s">
        <v>72</v>
      </c>
      <c r="B711" s="28" t="s">
        <v>283</v>
      </c>
      <c r="C711" s="28" t="s">
        <v>46</v>
      </c>
      <c r="D711" s="28" t="s">
        <v>46</v>
      </c>
      <c r="E711" s="28" t="s">
        <v>341</v>
      </c>
      <c r="F711" s="28" t="s">
        <v>73</v>
      </c>
      <c r="G711" s="35">
        <f>G712+G713</f>
        <v>118</v>
      </c>
      <c r="H711" s="35">
        <f t="shared" ref="H711:K711" si="329">H712+H713</f>
        <v>118</v>
      </c>
      <c r="I711" s="35">
        <f t="shared" si="329"/>
        <v>28.5</v>
      </c>
      <c r="J711" s="35">
        <f t="shared" si="329"/>
        <v>28.5</v>
      </c>
      <c r="K711" s="35">
        <f t="shared" si="329"/>
        <v>5.0999999999999996</v>
      </c>
      <c r="L711" s="35">
        <f t="shared" si="310"/>
        <v>4.3220338983050848</v>
      </c>
      <c r="M711" s="35">
        <f t="shared" si="311"/>
        <v>17.894736842105264</v>
      </c>
    </row>
    <row r="712" spans="1:13">
      <c r="A712" s="59" t="s">
        <v>84</v>
      </c>
      <c r="B712" s="28" t="s">
        <v>283</v>
      </c>
      <c r="C712" s="28" t="s">
        <v>46</v>
      </c>
      <c r="D712" s="28" t="s">
        <v>46</v>
      </c>
      <c r="E712" s="28" t="s">
        <v>341</v>
      </c>
      <c r="F712" s="28" t="s">
        <v>85</v>
      </c>
      <c r="G712" s="35">
        <v>90</v>
      </c>
      <c r="H712" s="35">
        <v>90</v>
      </c>
      <c r="I712" s="35">
        <v>7.5</v>
      </c>
      <c r="J712" s="35">
        <v>7.5</v>
      </c>
      <c r="K712" s="35">
        <v>0</v>
      </c>
      <c r="L712" s="35">
        <f t="shared" si="310"/>
        <v>0</v>
      </c>
      <c r="M712" s="35">
        <f t="shared" si="311"/>
        <v>0</v>
      </c>
    </row>
    <row r="713" spans="1:13">
      <c r="A713" s="59" t="s">
        <v>74</v>
      </c>
      <c r="B713" s="28" t="s">
        <v>283</v>
      </c>
      <c r="C713" s="28" t="s">
        <v>46</v>
      </c>
      <c r="D713" s="28" t="s">
        <v>46</v>
      </c>
      <c r="E713" s="28" t="s">
        <v>341</v>
      </c>
      <c r="F713" s="28" t="s">
        <v>75</v>
      </c>
      <c r="G713" s="35">
        <v>28</v>
      </c>
      <c r="H713" s="35">
        <v>28</v>
      </c>
      <c r="I713" s="35">
        <v>21</v>
      </c>
      <c r="J713" s="35">
        <v>21</v>
      </c>
      <c r="K713" s="35">
        <v>5.0999999999999996</v>
      </c>
      <c r="L713" s="35">
        <f t="shared" si="310"/>
        <v>18.214285714285712</v>
      </c>
      <c r="M713" s="35">
        <f t="shared" si="311"/>
        <v>24.285714285714281</v>
      </c>
    </row>
    <row r="714" spans="1:13" ht="25.5">
      <c r="A714" s="59" t="s">
        <v>76</v>
      </c>
      <c r="B714" s="28" t="s">
        <v>283</v>
      </c>
      <c r="C714" s="28" t="s">
        <v>46</v>
      </c>
      <c r="D714" s="28" t="s">
        <v>46</v>
      </c>
      <c r="E714" s="28" t="s">
        <v>140</v>
      </c>
      <c r="F714" s="58" t="s">
        <v>0</v>
      </c>
      <c r="G714" s="35">
        <f>G715+G717+G719+G721</f>
        <v>202537.5</v>
      </c>
      <c r="H714" s="35">
        <f t="shared" ref="H714:K714" si="330">H715+H717+H719+H721</f>
        <v>202537.5</v>
      </c>
      <c r="I714" s="35">
        <f t="shared" si="330"/>
        <v>138121.63504999998</v>
      </c>
      <c r="J714" s="35">
        <f t="shared" si="330"/>
        <v>138121.63504999998</v>
      </c>
      <c r="K714" s="35">
        <f t="shared" si="330"/>
        <v>137598.95246999999</v>
      </c>
      <c r="L714" s="35">
        <f t="shared" si="310"/>
        <v>67.937518963154957</v>
      </c>
      <c r="M714" s="35">
        <f t="shared" si="311"/>
        <v>99.62157805342315</v>
      </c>
    </row>
    <row r="715" spans="1:13" ht="63.75">
      <c r="A715" s="59" t="s">
        <v>60</v>
      </c>
      <c r="B715" s="28" t="s">
        <v>283</v>
      </c>
      <c r="C715" s="28" t="s">
        <v>46</v>
      </c>
      <c r="D715" s="28" t="s">
        <v>46</v>
      </c>
      <c r="E715" s="28" t="s">
        <v>140</v>
      </c>
      <c r="F715" s="28" t="s">
        <v>61</v>
      </c>
      <c r="G715" s="35">
        <f>G716</f>
        <v>19101.5</v>
      </c>
      <c r="H715" s="35">
        <f t="shared" ref="H715:K715" si="331">H716</f>
        <v>19101.5</v>
      </c>
      <c r="I715" s="35">
        <f t="shared" si="331"/>
        <v>12663.9</v>
      </c>
      <c r="J715" s="35">
        <f t="shared" si="331"/>
        <v>12663.9</v>
      </c>
      <c r="K715" s="35">
        <f t="shared" si="331"/>
        <v>12280.218490000001</v>
      </c>
      <c r="L715" s="35">
        <f t="shared" si="310"/>
        <v>64.289288746957055</v>
      </c>
      <c r="M715" s="35">
        <f t="shared" si="311"/>
        <v>96.970273691358912</v>
      </c>
    </row>
    <row r="716" spans="1:13">
      <c r="A716" s="59" t="s">
        <v>78</v>
      </c>
      <c r="B716" s="28" t="s">
        <v>283</v>
      </c>
      <c r="C716" s="28" t="s">
        <v>46</v>
      </c>
      <c r="D716" s="28" t="s">
        <v>46</v>
      </c>
      <c r="E716" s="28" t="s">
        <v>140</v>
      </c>
      <c r="F716" s="28" t="s">
        <v>79</v>
      </c>
      <c r="G716" s="35">
        <v>19101.5</v>
      </c>
      <c r="H716" s="35">
        <f>14596.6+157.2+4347.7</f>
        <v>19101.5</v>
      </c>
      <c r="I716" s="35">
        <f>9731+34.5+2898.4</f>
        <v>12663.9</v>
      </c>
      <c r="J716" s="35">
        <f>9731+34.5+2898.4</f>
        <v>12663.9</v>
      </c>
      <c r="K716" s="35">
        <f>9419.23443+34.5+2826.48406</f>
        <v>12280.218490000001</v>
      </c>
      <c r="L716" s="35">
        <f t="shared" si="310"/>
        <v>64.289288746957055</v>
      </c>
      <c r="M716" s="35">
        <f t="shared" si="311"/>
        <v>96.970273691358912</v>
      </c>
    </row>
    <row r="717" spans="1:13" ht="25.5">
      <c r="A717" s="59" t="s">
        <v>64</v>
      </c>
      <c r="B717" s="28" t="s">
        <v>283</v>
      </c>
      <c r="C717" s="28" t="s">
        <v>46</v>
      </c>
      <c r="D717" s="28" t="s">
        <v>46</v>
      </c>
      <c r="E717" s="28" t="s">
        <v>140</v>
      </c>
      <c r="F717" s="28" t="s">
        <v>65</v>
      </c>
      <c r="G717" s="35">
        <f>G718</f>
        <v>36501.199999999997</v>
      </c>
      <c r="H717" s="35">
        <f t="shared" ref="H717:K717" si="332">H718</f>
        <v>36501.199999999997</v>
      </c>
      <c r="I717" s="35">
        <f t="shared" si="332"/>
        <v>25154.95</v>
      </c>
      <c r="J717" s="35">
        <f t="shared" si="332"/>
        <v>25154.95</v>
      </c>
      <c r="K717" s="35">
        <f t="shared" si="332"/>
        <v>25020.723170000001</v>
      </c>
      <c r="L717" s="35">
        <f t="shared" si="310"/>
        <v>68.547672871028908</v>
      </c>
      <c r="M717" s="35">
        <f t="shared" si="311"/>
        <v>99.46639993321395</v>
      </c>
    </row>
    <row r="718" spans="1:13" ht="25.5">
      <c r="A718" s="59" t="s">
        <v>66</v>
      </c>
      <c r="B718" s="28" t="s">
        <v>283</v>
      </c>
      <c r="C718" s="28" t="s">
        <v>46</v>
      </c>
      <c r="D718" s="28" t="s">
        <v>46</v>
      </c>
      <c r="E718" s="28" t="s">
        <v>140</v>
      </c>
      <c r="F718" s="28" t="s">
        <v>67</v>
      </c>
      <c r="G718" s="35">
        <v>36501.199999999997</v>
      </c>
      <c r="H718" s="35">
        <v>36501.199999999997</v>
      </c>
      <c r="I718" s="35">
        <v>25154.95</v>
      </c>
      <c r="J718" s="35">
        <v>25154.95</v>
      </c>
      <c r="K718" s="35">
        <v>25020.723170000001</v>
      </c>
      <c r="L718" s="35">
        <f t="shared" si="310"/>
        <v>68.547672871028908</v>
      </c>
      <c r="M718" s="35">
        <f t="shared" si="311"/>
        <v>99.46639993321395</v>
      </c>
    </row>
    <row r="719" spans="1:13" ht="25.5">
      <c r="A719" s="59" t="s">
        <v>80</v>
      </c>
      <c r="B719" s="28" t="s">
        <v>283</v>
      </c>
      <c r="C719" s="28" t="s">
        <v>46</v>
      </c>
      <c r="D719" s="28" t="s">
        <v>46</v>
      </c>
      <c r="E719" s="28" t="s">
        <v>140</v>
      </c>
      <c r="F719" s="28" t="s">
        <v>81</v>
      </c>
      <c r="G719" s="35">
        <f>G720</f>
        <v>144982.1</v>
      </c>
      <c r="H719" s="35">
        <f t="shared" ref="H719:K719" si="333">H720</f>
        <v>144982.1</v>
      </c>
      <c r="I719" s="35">
        <f t="shared" si="333"/>
        <v>98975.3</v>
      </c>
      <c r="J719" s="35">
        <f t="shared" si="333"/>
        <v>98975.3</v>
      </c>
      <c r="K719" s="35">
        <f t="shared" si="333"/>
        <v>98975.3</v>
      </c>
      <c r="L719" s="35">
        <f t="shared" si="310"/>
        <v>68.267255061142023</v>
      </c>
      <c r="M719" s="35">
        <f t="shared" si="311"/>
        <v>100</v>
      </c>
    </row>
    <row r="720" spans="1:13">
      <c r="A720" s="59" t="s">
        <v>271</v>
      </c>
      <c r="B720" s="28" t="s">
        <v>283</v>
      </c>
      <c r="C720" s="28" t="s">
        <v>46</v>
      </c>
      <c r="D720" s="28" t="s">
        <v>46</v>
      </c>
      <c r="E720" s="28" t="s">
        <v>140</v>
      </c>
      <c r="F720" s="28" t="s">
        <v>272</v>
      </c>
      <c r="G720" s="35">
        <v>144982.1</v>
      </c>
      <c r="H720" s="35">
        <v>144982.1</v>
      </c>
      <c r="I720" s="35">
        <v>98975.3</v>
      </c>
      <c r="J720" s="35">
        <v>98975.3</v>
      </c>
      <c r="K720" s="35">
        <v>98975.3</v>
      </c>
      <c r="L720" s="35">
        <f t="shared" si="310"/>
        <v>68.267255061142023</v>
      </c>
      <c r="M720" s="35">
        <f t="shared" si="311"/>
        <v>100</v>
      </c>
    </row>
    <row r="721" spans="1:13">
      <c r="A721" s="59" t="s">
        <v>72</v>
      </c>
      <c r="B721" s="28" t="s">
        <v>283</v>
      </c>
      <c r="C721" s="28" t="s">
        <v>46</v>
      </c>
      <c r="D721" s="28" t="s">
        <v>46</v>
      </c>
      <c r="E721" s="28" t="s">
        <v>140</v>
      </c>
      <c r="F721" s="28" t="s">
        <v>73</v>
      </c>
      <c r="G721" s="35">
        <f>G722</f>
        <v>1952.7</v>
      </c>
      <c r="H721" s="35">
        <f t="shared" ref="H721:K721" si="334">H722</f>
        <v>1952.6999999999998</v>
      </c>
      <c r="I721" s="35">
        <f t="shared" si="334"/>
        <v>1327.48505</v>
      </c>
      <c r="J721" s="35">
        <f t="shared" si="334"/>
        <v>1327.48505</v>
      </c>
      <c r="K721" s="35">
        <f t="shared" si="334"/>
        <v>1322.71081</v>
      </c>
      <c r="L721" s="35">
        <f t="shared" si="310"/>
        <v>67.737533159215459</v>
      </c>
      <c r="M721" s="35">
        <f t="shared" si="311"/>
        <v>99.640354518493439</v>
      </c>
    </row>
    <row r="722" spans="1:13">
      <c r="A722" s="59" t="s">
        <v>74</v>
      </c>
      <c r="B722" s="28" t="s">
        <v>283</v>
      </c>
      <c r="C722" s="28" t="s">
        <v>46</v>
      </c>
      <c r="D722" s="28" t="s">
        <v>46</v>
      </c>
      <c r="E722" s="28" t="s">
        <v>140</v>
      </c>
      <c r="F722" s="28" t="s">
        <v>75</v>
      </c>
      <c r="G722" s="35">
        <v>1952.7</v>
      </c>
      <c r="H722" s="35">
        <f>1918.6+34.0113+0.0887</f>
        <v>1952.6999999999998</v>
      </c>
      <c r="I722" s="35">
        <f>1304.68505+22.8</f>
        <v>1327.48505</v>
      </c>
      <c r="J722" s="35">
        <f>1304.68505+22.8</f>
        <v>1327.48505</v>
      </c>
      <c r="K722" s="35">
        <f>1304.68505+18.02576</f>
        <v>1322.71081</v>
      </c>
      <c r="L722" s="35">
        <f t="shared" si="310"/>
        <v>67.737533159215459</v>
      </c>
      <c r="M722" s="35">
        <f t="shared" si="311"/>
        <v>99.640354518493439</v>
      </c>
    </row>
    <row r="723" spans="1:13" ht="25.5">
      <c r="A723" s="59" t="s">
        <v>342</v>
      </c>
      <c r="B723" s="28" t="s">
        <v>283</v>
      </c>
      <c r="C723" s="28" t="s">
        <v>46</v>
      </c>
      <c r="D723" s="28" t="s">
        <v>46</v>
      </c>
      <c r="E723" s="28" t="s">
        <v>343</v>
      </c>
      <c r="F723" s="58" t="s">
        <v>0</v>
      </c>
      <c r="G723" s="35">
        <f>G724</f>
        <v>7785215.4000000004</v>
      </c>
      <c r="H723" s="35">
        <f t="shared" ref="H723:K724" si="335">H724</f>
        <v>7785215.4000000004</v>
      </c>
      <c r="I723" s="35">
        <f t="shared" si="335"/>
        <v>5838911.5499999998</v>
      </c>
      <c r="J723" s="35">
        <f t="shared" si="335"/>
        <v>5838911.5499999998</v>
      </c>
      <c r="K723" s="35">
        <f t="shared" si="335"/>
        <v>5838911.5499999998</v>
      </c>
      <c r="L723" s="35">
        <f t="shared" si="310"/>
        <v>74.999999999999986</v>
      </c>
      <c r="M723" s="35">
        <f t="shared" si="311"/>
        <v>100</v>
      </c>
    </row>
    <row r="724" spans="1:13">
      <c r="A724" s="59" t="s">
        <v>68</v>
      </c>
      <c r="B724" s="28" t="s">
        <v>283</v>
      </c>
      <c r="C724" s="28" t="s">
        <v>46</v>
      </c>
      <c r="D724" s="28" t="s">
        <v>46</v>
      </c>
      <c r="E724" s="28" t="s">
        <v>343</v>
      </c>
      <c r="F724" s="28" t="s">
        <v>69</v>
      </c>
      <c r="G724" s="35">
        <f>G725</f>
        <v>7785215.4000000004</v>
      </c>
      <c r="H724" s="35">
        <f t="shared" si="335"/>
        <v>7785215.4000000004</v>
      </c>
      <c r="I724" s="35">
        <f t="shared" si="335"/>
        <v>5838911.5499999998</v>
      </c>
      <c r="J724" s="35">
        <f t="shared" si="335"/>
        <v>5838911.5499999998</v>
      </c>
      <c r="K724" s="35">
        <f t="shared" si="335"/>
        <v>5838911.5499999998</v>
      </c>
      <c r="L724" s="35">
        <f t="shared" si="310"/>
        <v>74.999999999999986</v>
      </c>
      <c r="M724" s="35">
        <f t="shared" si="311"/>
        <v>100</v>
      </c>
    </row>
    <row r="725" spans="1:13" ht="25.5">
      <c r="A725" s="59" t="s">
        <v>151</v>
      </c>
      <c r="B725" s="28" t="s">
        <v>283</v>
      </c>
      <c r="C725" s="28" t="s">
        <v>46</v>
      </c>
      <c r="D725" s="28" t="s">
        <v>46</v>
      </c>
      <c r="E725" s="28" t="s">
        <v>343</v>
      </c>
      <c r="F725" s="28" t="s">
        <v>152</v>
      </c>
      <c r="G725" s="35">
        <v>7785215.4000000004</v>
      </c>
      <c r="H725" s="35">
        <v>7785215.4000000004</v>
      </c>
      <c r="I725" s="35">
        <v>5838911.5499999998</v>
      </c>
      <c r="J725" s="35">
        <v>5838911.5499999998</v>
      </c>
      <c r="K725" s="35">
        <v>5838911.5499999998</v>
      </c>
      <c r="L725" s="35">
        <f t="shared" si="310"/>
        <v>74.999999999999986</v>
      </c>
      <c r="M725" s="35">
        <f t="shared" si="311"/>
        <v>100</v>
      </c>
    </row>
    <row r="726" spans="1:13" ht="43.5" customHeight="1">
      <c r="A726" s="59" t="s">
        <v>1128</v>
      </c>
      <c r="B726" s="28" t="s">
        <v>283</v>
      </c>
      <c r="C726" s="28" t="s">
        <v>46</v>
      </c>
      <c r="D726" s="28" t="s">
        <v>46</v>
      </c>
      <c r="E726" s="29" t="s">
        <v>1127</v>
      </c>
      <c r="F726" s="28"/>
      <c r="G726" s="35"/>
      <c r="H726" s="35">
        <f>H727+H729</f>
        <v>5746.6684800000003</v>
      </c>
      <c r="I726" s="35">
        <f t="shared" ref="I726:K726" si="336">I727+I729</f>
        <v>3623.4767199999997</v>
      </c>
      <c r="J726" s="35">
        <f t="shared" si="336"/>
        <v>3623.4767199999997</v>
      </c>
      <c r="K726" s="35">
        <f t="shared" si="336"/>
        <v>3457.2988</v>
      </c>
      <c r="L726" s="35">
        <f t="shared" si="310"/>
        <v>60.161793081197544</v>
      </c>
      <c r="M726" s="35">
        <f t="shared" si="311"/>
        <v>95.413854349256042</v>
      </c>
    </row>
    <row r="727" spans="1:13" ht="63.75">
      <c r="A727" s="59" t="s">
        <v>60</v>
      </c>
      <c r="B727" s="28" t="s">
        <v>283</v>
      </c>
      <c r="C727" s="28" t="s">
        <v>46</v>
      </c>
      <c r="D727" s="28" t="s">
        <v>46</v>
      </c>
      <c r="E727" s="29" t="s">
        <v>1127</v>
      </c>
      <c r="F727" s="28">
        <v>100</v>
      </c>
      <c r="G727" s="35"/>
      <c r="H727" s="35">
        <f>H728</f>
        <v>2147.4894399999998</v>
      </c>
      <c r="I727" s="35">
        <f t="shared" ref="I727:K727" si="337">I728</f>
        <v>1879.0532599999999</v>
      </c>
      <c r="J727" s="35">
        <f t="shared" si="337"/>
        <v>1879.0532599999999</v>
      </c>
      <c r="K727" s="35">
        <f t="shared" si="337"/>
        <v>1712.8753400000001</v>
      </c>
      <c r="L727" s="35">
        <f t="shared" si="310"/>
        <v>79.761758455957775</v>
      </c>
      <c r="M727" s="35">
        <f t="shared" si="311"/>
        <v>91.156295378237445</v>
      </c>
    </row>
    <row r="728" spans="1:13">
      <c r="A728" s="59" t="s">
        <v>78</v>
      </c>
      <c r="B728" s="28" t="s">
        <v>283</v>
      </c>
      <c r="C728" s="28" t="s">
        <v>46</v>
      </c>
      <c r="D728" s="28" t="s">
        <v>46</v>
      </c>
      <c r="E728" s="29" t="s">
        <v>1127</v>
      </c>
      <c r="F728" s="28">
        <v>110</v>
      </c>
      <c r="G728" s="35"/>
      <c r="H728" s="35">
        <f>1649.37744+498.112</f>
        <v>2147.4894399999998</v>
      </c>
      <c r="I728" s="35">
        <f>1443.20526+435.848</f>
        <v>1879.0532599999999</v>
      </c>
      <c r="J728" s="35">
        <f>1443.20526+435.848</f>
        <v>1879.0532599999999</v>
      </c>
      <c r="K728" s="35">
        <f>1312.12534+400.75</f>
        <v>1712.8753400000001</v>
      </c>
      <c r="L728" s="35">
        <f t="shared" si="310"/>
        <v>79.761758455957775</v>
      </c>
      <c r="M728" s="35">
        <f t="shared" si="311"/>
        <v>91.156295378237445</v>
      </c>
    </row>
    <row r="729" spans="1:13" ht="25.5">
      <c r="A729" s="59" t="s">
        <v>64</v>
      </c>
      <c r="B729" s="28" t="s">
        <v>283</v>
      </c>
      <c r="C729" s="28" t="s">
        <v>46</v>
      </c>
      <c r="D729" s="28" t="s">
        <v>46</v>
      </c>
      <c r="E729" s="29" t="s">
        <v>1127</v>
      </c>
      <c r="F729" s="28">
        <v>200</v>
      </c>
      <c r="G729" s="35"/>
      <c r="H729" s="35">
        <f>H730</f>
        <v>3599.17904</v>
      </c>
      <c r="I729" s="35">
        <f t="shared" ref="I729:K729" si="338">I730</f>
        <v>1744.42346</v>
      </c>
      <c r="J729" s="35">
        <f t="shared" si="338"/>
        <v>1744.42346</v>
      </c>
      <c r="K729" s="35">
        <f t="shared" si="338"/>
        <v>1744.42346</v>
      </c>
      <c r="L729" s="35">
        <f t="shared" si="310"/>
        <v>48.467259911582502</v>
      </c>
      <c r="M729" s="35">
        <f t="shared" si="311"/>
        <v>100</v>
      </c>
    </row>
    <row r="730" spans="1:13" ht="25.5">
      <c r="A730" s="59" t="s">
        <v>66</v>
      </c>
      <c r="B730" s="28" t="s">
        <v>283</v>
      </c>
      <c r="C730" s="28" t="s">
        <v>46</v>
      </c>
      <c r="D730" s="28" t="s">
        <v>46</v>
      </c>
      <c r="E730" s="29" t="s">
        <v>1127</v>
      </c>
      <c r="F730" s="28">
        <v>240</v>
      </c>
      <c r="G730" s="35"/>
      <c r="H730" s="35">
        <v>3599.17904</v>
      </c>
      <c r="I730" s="35">
        <v>1744.42346</v>
      </c>
      <c r="J730" s="35">
        <v>1744.42346</v>
      </c>
      <c r="K730" s="35">
        <v>1744.42346</v>
      </c>
      <c r="L730" s="35">
        <f t="shared" si="310"/>
        <v>48.467259911582502</v>
      </c>
      <c r="M730" s="35">
        <f t="shared" si="311"/>
        <v>100</v>
      </c>
    </row>
    <row r="731" spans="1:13" ht="63.75">
      <c r="A731" s="59" t="s">
        <v>156</v>
      </c>
      <c r="B731" s="28" t="s">
        <v>283</v>
      </c>
      <c r="C731" s="28" t="s">
        <v>46</v>
      </c>
      <c r="D731" s="28" t="s">
        <v>46</v>
      </c>
      <c r="E731" s="28" t="s">
        <v>157</v>
      </c>
      <c r="F731" s="58" t="s">
        <v>0</v>
      </c>
      <c r="G731" s="35">
        <f>G732</f>
        <v>4667.1000000000004</v>
      </c>
      <c r="H731" s="35">
        <f t="shared" ref="H731:K734" si="339">H732</f>
        <v>4667.1000000000004</v>
      </c>
      <c r="I731" s="35">
        <f t="shared" si="339"/>
        <v>3405.1973699999999</v>
      </c>
      <c r="J731" s="35">
        <f t="shared" si="339"/>
        <v>3405.1973699999999</v>
      </c>
      <c r="K731" s="35">
        <f t="shared" si="339"/>
        <v>3405.1973699999999</v>
      </c>
      <c r="L731" s="35">
        <f t="shared" si="310"/>
        <v>72.961740052709374</v>
      </c>
      <c r="M731" s="35">
        <f t="shared" si="311"/>
        <v>100</v>
      </c>
    </row>
    <row r="732" spans="1:13">
      <c r="A732" s="59" t="s">
        <v>158</v>
      </c>
      <c r="B732" s="28" t="s">
        <v>283</v>
      </c>
      <c r="C732" s="28" t="s">
        <v>46</v>
      </c>
      <c r="D732" s="28" t="s">
        <v>46</v>
      </c>
      <c r="E732" s="28" t="s">
        <v>159</v>
      </c>
      <c r="F732" s="58" t="s">
        <v>0</v>
      </c>
      <c r="G732" s="35">
        <f>G733</f>
        <v>4667.1000000000004</v>
      </c>
      <c r="H732" s="35">
        <f t="shared" si="339"/>
        <v>4667.1000000000004</v>
      </c>
      <c r="I732" s="35">
        <f t="shared" si="339"/>
        <v>3405.1973699999999</v>
      </c>
      <c r="J732" s="35">
        <f t="shared" si="339"/>
        <v>3405.1973699999999</v>
      </c>
      <c r="K732" s="35">
        <f t="shared" si="339"/>
        <v>3405.1973699999999</v>
      </c>
      <c r="L732" s="35">
        <f t="shared" si="310"/>
        <v>72.961740052709374</v>
      </c>
      <c r="M732" s="35">
        <f t="shared" si="311"/>
        <v>100</v>
      </c>
    </row>
    <row r="733" spans="1:13">
      <c r="A733" s="59" t="s">
        <v>303</v>
      </c>
      <c r="B733" s="28" t="s">
        <v>283</v>
      </c>
      <c r="C733" s="28" t="s">
        <v>46</v>
      </c>
      <c r="D733" s="28" t="s">
        <v>46</v>
      </c>
      <c r="E733" s="28" t="s">
        <v>344</v>
      </c>
      <c r="F733" s="58" t="s">
        <v>0</v>
      </c>
      <c r="G733" s="35">
        <f>G734</f>
        <v>4667.1000000000004</v>
      </c>
      <c r="H733" s="35">
        <f t="shared" si="339"/>
        <v>4667.1000000000004</v>
      </c>
      <c r="I733" s="35">
        <f t="shared" si="339"/>
        <v>3405.1973699999999</v>
      </c>
      <c r="J733" s="35">
        <f t="shared" si="339"/>
        <v>3405.1973699999999</v>
      </c>
      <c r="K733" s="35">
        <f t="shared" si="339"/>
        <v>3405.1973699999999</v>
      </c>
      <c r="L733" s="35">
        <f t="shared" si="310"/>
        <v>72.961740052709374</v>
      </c>
      <c r="M733" s="35">
        <f t="shared" si="311"/>
        <v>100</v>
      </c>
    </row>
    <row r="734" spans="1:13" ht="25.5">
      <c r="A734" s="59" t="s">
        <v>80</v>
      </c>
      <c r="B734" s="28" t="s">
        <v>283</v>
      </c>
      <c r="C734" s="28" t="s">
        <v>46</v>
      </c>
      <c r="D734" s="28" t="s">
        <v>46</v>
      </c>
      <c r="E734" s="28" t="s">
        <v>344</v>
      </c>
      <c r="F734" s="28" t="s">
        <v>81</v>
      </c>
      <c r="G734" s="35">
        <f>G735</f>
        <v>4667.1000000000004</v>
      </c>
      <c r="H734" s="35">
        <f t="shared" si="339"/>
        <v>4667.1000000000004</v>
      </c>
      <c r="I734" s="35">
        <f t="shared" si="339"/>
        <v>3405.1973699999999</v>
      </c>
      <c r="J734" s="35">
        <f t="shared" si="339"/>
        <v>3405.1973699999999</v>
      </c>
      <c r="K734" s="35">
        <f t="shared" si="339"/>
        <v>3405.1973699999999</v>
      </c>
      <c r="L734" s="35">
        <f t="shared" si="310"/>
        <v>72.961740052709374</v>
      </c>
      <c r="M734" s="35">
        <f t="shared" si="311"/>
        <v>100</v>
      </c>
    </row>
    <row r="735" spans="1:13">
      <c r="A735" s="59" t="s">
        <v>271</v>
      </c>
      <c r="B735" s="28" t="s">
        <v>283</v>
      </c>
      <c r="C735" s="28" t="s">
        <v>46</v>
      </c>
      <c r="D735" s="28" t="s">
        <v>46</v>
      </c>
      <c r="E735" s="28" t="s">
        <v>344</v>
      </c>
      <c r="F735" s="28" t="s">
        <v>272</v>
      </c>
      <c r="G735" s="35">
        <v>4667.1000000000004</v>
      </c>
      <c r="H735" s="35">
        <v>4667.1000000000004</v>
      </c>
      <c r="I735" s="35">
        <v>3405.1973699999999</v>
      </c>
      <c r="J735" s="35">
        <v>3405.1973699999999</v>
      </c>
      <c r="K735" s="35">
        <v>3405.1973699999999</v>
      </c>
      <c r="L735" s="35">
        <f t="shared" si="310"/>
        <v>72.961740052709374</v>
      </c>
      <c r="M735" s="35">
        <f t="shared" si="311"/>
        <v>100</v>
      </c>
    </row>
    <row r="736" spans="1:13" ht="25.5">
      <c r="A736" s="59" t="s">
        <v>142</v>
      </c>
      <c r="B736" s="28" t="s">
        <v>283</v>
      </c>
      <c r="C736" s="28" t="s">
        <v>46</v>
      </c>
      <c r="D736" s="28" t="s">
        <v>46</v>
      </c>
      <c r="E736" s="28" t="s">
        <v>143</v>
      </c>
      <c r="F736" s="58" t="s">
        <v>0</v>
      </c>
      <c r="G736" s="35">
        <f>G737</f>
        <v>2710</v>
      </c>
      <c r="H736" s="35">
        <f t="shared" ref="H736:K736" si="340">H737</f>
        <v>2710</v>
      </c>
      <c r="I736" s="35">
        <f t="shared" si="340"/>
        <v>640</v>
      </c>
      <c r="J736" s="35">
        <f t="shared" si="340"/>
        <v>640</v>
      </c>
      <c r="K736" s="35">
        <f t="shared" si="340"/>
        <v>640</v>
      </c>
      <c r="L736" s="35">
        <f t="shared" si="310"/>
        <v>23.616236162361623</v>
      </c>
      <c r="M736" s="35">
        <f t="shared" si="311"/>
        <v>100</v>
      </c>
    </row>
    <row r="737" spans="1:13">
      <c r="A737" s="59" t="s">
        <v>303</v>
      </c>
      <c r="B737" s="28" t="s">
        <v>283</v>
      </c>
      <c r="C737" s="28" t="s">
        <v>46</v>
      </c>
      <c r="D737" s="28" t="s">
        <v>46</v>
      </c>
      <c r="E737" s="28" t="s">
        <v>345</v>
      </c>
      <c r="F737" s="58" t="s">
        <v>0</v>
      </c>
      <c r="G737" s="35">
        <f>G738+G740</f>
        <v>2710</v>
      </c>
      <c r="H737" s="35">
        <f t="shared" ref="H737:K737" si="341">H738+H740</f>
        <v>2710</v>
      </c>
      <c r="I737" s="35">
        <f t="shared" si="341"/>
        <v>640</v>
      </c>
      <c r="J737" s="35">
        <f t="shared" si="341"/>
        <v>640</v>
      </c>
      <c r="K737" s="35">
        <f t="shared" si="341"/>
        <v>640</v>
      </c>
      <c r="L737" s="35">
        <f t="shared" si="310"/>
        <v>23.616236162361623</v>
      </c>
      <c r="M737" s="35">
        <f t="shared" si="311"/>
        <v>100</v>
      </c>
    </row>
    <row r="738" spans="1:13">
      <c r="A738" s="59" t="s">
        <v>68</v>
      </c>
      <c r="B738" s="28" t="s">
        <v>283</v>
      </c>
      <c r="C738" s="28" t="s">
        <v>46</v>
      </c>
      <c r="D738" s="28" t="s">
        <v>46</v>
      </c>
      <c r="E738" s="28" t="s">
        <v>345</v>
      </c>
      <c r="F738" s="28" t="s">
        <v>69</v>
      </c>
      <c r="G738" s="35">
        <f>G739</f>
        <v>1750</v>
      </c>
      <c r="H738" s="35">
        <f t="shared" ref="H738:K738" si="342">H739</f>
        <v>1750</v>
      </c>
      <c r="I738" s="35">
        <f t="shared" si="342"/>
        <v>0</v>
      </c>
      <c r="J738" s="35">
        <f t="shared" si="342"/>
        <v>0</v>
      </c>
      <c r="K738" s="35">
        <f t="shared" si="342"/>
        <v>0</v>
      </c>
      <c r="L738" s="35">
        <f t="shared" si="310"/>
        <v>0</v>
      </c>
      <c r="M738" s="35">
        <v>0</v>
      </c>
    </row>
    <row r="739" spans="1:13">
      <c r="A739" s="59" t="s">
        <v>70</v>
      </c>
      <c r="B739" s="28" t="s">
        <v>283</v>
      </c>
      <c r="C739" s="28" t="s">
        <v>46</v>
      </c>
      <c r="D739" s="28" t="s">
        <v>46</v>
      </c>
      <c r="E739" s="28" t="s">
        <v>345</v>
      </c>
      <c r="F739" s="28" t="s">
        <v>71</v>
      </c>
      <c r="G739" s="35">
        <v>1750</v>
      </c>
      <c r="H739" s="35">
        <v>1750</v>
      </c>
      <c r="I739" s="35">
        <v>0</v>
      </c>
      <c r="J739" s="35">
        <v>0</v>
      </c>
      <c r="K739" s="35">
        <v>0</v>
      </c>
      <c r="L739" s="35">
        <f t="shared" ref="L739:L802" si="343">K739/H739*100</f>
        <v>0</v>
      </c>
      <c r="M739" s="35">
        <v>0</v>
      </c>
    </row>
    <row r="740" spans="1:13" ht="25.5">
      <c r="A740" s="59" t="s">
        <v>80</v>
      </c>
      <c r="B740" s="28" t="s">
        <v>283</v>
      </c>
      <c r="C740" s="28" t="s">
        <v>46</v>
      </c>
      <c r="D740" s="28" t="s">
        <v>46</v>
      </c>
      <c r="E740" s="28" t="s">
        <v>345</v>
      </c>
      <c r="F740" s="28" t="s">
        <v>81</v>
      </c>
      <c r="G740" s="35">
        <f>G741</f>
        <v>960</v>
      </c>
      <c r="H740" s="35">
        <f t="shared" ref="H740:K740" si="344">H741</f>
        <v>960</v>
      </c>
      <c r="I740" s="35">
        <f t="shared" si="344"/>
        <v>640</v>
      </c>
      <c r="J740" s="35">
        <f t="shared" si="344"/>
        <v>640</v>
      </c>
      <c r="K740" s="35">
        <f t="shared" si="344"/>
        <v>640</v>
      </c>
      <c r="L740" s="35">
        <f t="shared" si="343"/>
        <v>66.666666666666657</v>
      </c>
      <c r="M740" s="35">
        <f t="shared" ref="M740:M802" si="345">K740/I740*100</f>
        <v>100</v>
      </c>
    </row>
    <row r="741" spans="1:13" ht="17.25" customHeight="1">
      <c r="A741" s="59" t="s">
        <v>271</v>
      </c>
      <c r="B741" s="28" t="s">
        <v>283</v>
      </c>
      <c r="C741" s="28" t="s">
        <v>46</v>
      </c>
      <c r="D741" s="28" t="s">
        <v>46</v>
      </c>
      <c r="E741" s="28" t="s">
        <v>345</v>
      </c>
      <c r="F741" s="28" t="s">
        <v>272</v>
      </c>
      <c r="G741" s="35">
        <v>960</v>
      </c>
      <c r="H741" s="35">
        <v>960</v>
      </c>
      <c r="I741" s="35">
        <v>640</v>
      </c>
      <c r="J741" s="35">
        <v>640</v>
      </c>
      <c r="K741" s="35">
        <v>640</v>
      </c>
      <c r="L741" s="35">
        <f t="shared" si="343"/>
        <v>66.666666666666657</v>
      </c>
      <c r="M741" s="35">
        <f t="shared" si="345"/>
        <v>100</v>
      </c>
    </row>
    <row r="742" spans="1:13" ht="17.25" customHeight="1">
      <c r="A742" s="62" t="s">
        <v>612</v>
      </c>
      <c r="B742" s="28" t="s">
        <v>283</v>
      </c>
      <c r="C742" s="28" t="s">
        <v>46</v>
      </c>
      <c r="D742" s="28" t="s">
        <v>46</v>
      </c>
      <c r="E742" s="29" t="s">
        <v>613</v>
      </c>
      <c r="F742" s="28"/>
      <c r="G742" s="35"/>
      <c r="H742" s="35">
        <f>H743</f>
        <v>5298.0839999999998</v>
      </c>
      <c r="I742" s="35">
        <f t="shared" ref="I742:K744" si="346">I743</f>
        <v>5298.0839999999998</v>
      </c>
      <c r="J742" s="35">
        <f t="shared" si="346"/>
        <v>5298.0839999999998</v>
      </c>
      <c r="K742" s="35">
        <f t="shared" si="346"/>
        <v>5298.0839999999998</v>
      </c>
      <c r="L742" s="35">
        <f t="shared" si="343"/>
        <v>100</v>
      </c>
      <c r="M742" s="35">
        <f t="shared" si="345"/>
        <v>100</v>
      </c>
    </row>
    <row r="743" spans="1:13" ht="17.25" customHeight="1">
      <c r="A743" s="59" t="s">
        <v>612</v>
      </c>
      <c r="B743" s="28" t="s">
        <v>283</v>
      </c>
      <c r="C743" s="28" t="s">
        <v>46</v>
      </c>
      <c r="D743" s="28" t="s">
        <v>46</v>
      </c>
      <c r="E743" s="29" t="s">
        <v>614</v>
      </c>
      <c r="F743" s="28"/>
      <c r="G743" s="35"/>
      <c r="H743" s="35">
        <f>H744</f>
        <v>5298.0839999999998</v>
      </c>
      <c r="I743" s="35">
        <f t="shared" si="346"/>
        <v>5298.0839999999998</v>
      </c>
      <c r="J743" s="35">
        <f t="shared" si="346"/>
        <v>5298.0839999999998</v>
      </c>
      <c r="K743" s="35">
        <f t="shared" si="346"/>
        <v>5298.0839999999998</v>
      </c>
      <c r="L743" s="35">
        <f t="shared" si="343"/>
        <v>100</v>
      </c>
      <c r="M743" s="35">
        <f t="shared" si="345"/>
        <v>100</v>
      </c>
    </row>
    <row r="744" spans="1:13" ht="25.5">
      <c r="A744" s="59" t="s">
        <v>64</v>
      </c>
      <c r="B744" s="28" t="s">
        <v>283</v>
      </c>
      <c r="C744" s="28" t="s">
        <v>46</v>
      </c>
      <c r="D744" s="28" t="s">
        <v>46</v>
      </c>
      <c r="E744" s="29" t="s">
        <v>614</v>
      </c>
      <c r="F744" s="28">
        <v>200</v>
      </c>
      <c r="G744" s="35"/>
      <c r="H744" s="35">
        <f>H745</f>
        <v>5298.0839999999998</v>
      </c>
      <c r="I744" s="35">
        <f t="shared" si="346"/>
        <v>5298.0839999999998</v>
      </c>
      <c r="J744" s="35">
        <f t="shared" si="346"/>
        <v>5298.0839999999998</v>
      </c>
      <c r="K744" s="35">
        <f t="shared" si="346"/>
        <v>5298.0839999999998</v>
      </c>
      <c r="L744" s="35">
        <f t="shared" si="343"/>
        <v>100</v>
      </c>
      <c r="M744" s="35">
        <f t="shared" si="345"/>
        <v>100</v>
      </c>
    </row>
    <row r="745" spans="1:13" ht="25.5">
      <c r="A745" s="59" t="s">
        <v>66</v>
      </c>
      <c r="B745" s="28" t="s">
        <v>283</v>
      </c>
      <c r="C745" s="28" t="s">
        <v>46</v>
      </c>
      <c r="D745" s="28" t="s">
        <v>46</v>
      </c>
      <c r="E745" s="29" t="s">
        <v>614</v>
      </c>
      <c r="F745" s="28">
        <v>240</v>
      </c>
      <c r="G745" s="66" t="s">
        <v>0</v>
      </c>
      <c r="H745" s="35">
        <v>5298.0839999999998</v>
      </c>
      <c r="I745" s="35">
        <v>5298.0839999999998</v>
      </c>
      <c r="J745" s="35">
        <v>5298.0839999999998</v>
      </c>
      <c r="K745" s="35">
        <v>5298.0839999999998</v>
      </c>
      <c r="L745" s="35">
        <f t="shared" si="343"/>
        <v>100</v>
      </c>
      <c r="M745" s="35">
        <f t="shared" si="345"/>
        <v>100</v>
      </c>
    </row>
    <row r="746" spans="1:13">
      <c r="A746" s="64"/>
      <c r="B746" s="28"/>
      <c r="C746" s="28"/>
      <c r="D746" s="28"/>
      <c r="E746" s="58"/>
      <c r="F746" s="58"/>
      <c r="G746" s="66"/>
      <c r="H746" s="66"/>
      <c r="I746" s="66"/>
      <c r="J746" s="66"/>
      <c r="K746" s="66"/>
      <c r="L746" s="35"/>
      <c r="M746" s="35"/>
    </row>
    <row r="747" spans="1:13" ht="25.5">
      <c r="A747" s="56" t="s">
        <v>346</v>
      </c>
      <c r="B747" s="57" t="s">
        <v>347</v>
      </c>
      <c r="C747" s="58" t="s">
        <v>0</v>
      </c>
      <c r="D747" s="58" t="s">
        <v>0</v>
      </c>
      <c r="E747" s="58" t="s">
        <v>0</v>
      </c>
      <c r="F747" s="58" t="s">
        <v>0</v>
      </c>
      <c r="G747" s="30">
        <f>G755+G775+G801+G748</f>
        <v>762242.90000000014</v>
      </c>
      <c r="H747" s="30">
        <f>H755+H775+H801+H748+H768</f>
        <v>842513.53300000017</v>
      </c>
      <c r="I747" s="30">
        <f t="shared" ref="I747:K747" si="347">I755+I775+I801+I748+I768</f>
        <v>636219.35951999994</v>
      </c>
      <c r="J747" s="30">
        <f t="shared" si="347"/>
        <v>636215.35951999994</v>
      </c>
      <c r="K747" s="30">
        <f t="shared" si="347"/>
        <v>635209.89223999996</v>
      </c>
      <c r="L747" s="30">
        <f t="shared" si="343"/>
        <v>75.394621849949544</v>
      </c>
      <c r="M747" s="30">
        <f t="shared" si="345"/>
        <v>99.841333454429687</v>
      </c>
    </row>
    <row r="748" spans="1:13">
      <c r="A748" s="62" t="s">
        <v>16</v>
      </c>
      <c r="B748" s="29" t="s">
        <v>347</v>
      </c>
      <c r="C748" s="71" t="s">
        <v>17</v>
      </c>
      <c r="D748" s="58"/>
      <c r="E748" s="58"/>
      <c r="F748" s="58"/>
      <c r="G748" s="36">
        <f>G749</f>
        <v>0</v>
      </c>
      <c r="H748" s="36">
        <f t="shared" ref="H748:K752" si="348">H749</f>
        <v>34013.9</v>
      </c>
      <c r="I748" s="36">
        <f t="shared" si="348"/>
        <v>25671.48</v>
      </c>
      <c r="J748" s="36">
        <f t="shared" si="348"/>
        <v>25671.48</v>
      </c>
      <c r="K748" s="36">
        <f t="shared" si="348"/>
        <v>25671.48</v>
      </c>
      <c r="L748" s="35">
        <f t="shared" si="343"/>
        <v>75.473497599510779</v>
      </c>
      <c r="M748" s="35">
        <f t="shared" si="345"/>
        <v>100</v>
      </c>
    </row>
    <row r="749" spans="1:13">
      <c r="A749" s="62" t="s">
        <v>386</v>
      </c>
      <c r="B749" s="29" t="s">
        <v>347</v>
      </c>
      <c r="C749" s="28" t="s">
        <v>17</v>
      </c>
      <c r="D749" s="28">
        <v>13</v>
      </c>
      <c r="E749" s="58"/>
      <c r="F749" s="58"/>
      <c r="G749" s="36">
        <f>G750</f>
        <v>0</v>
      </c>
      <c r="H749" s="36">
        <f t="shared" si="348"/>
        <v>34013.9</v>
      </c>
      <c r="I749" s="36">
        <f t="shared" si="348"/>
        <v>25671.48</v>
      </c>
      <c r="J749" s="36">
        <f t="shared" si="348"/>
        <v>25671.48</v>
      </c>
      <c r="K749" s="36">
        <f t="shared" si="348"/>
        <v>25671.48</v>
      </c>
      <c r="L749" s="35">
        <f t="shared" si="343"/>
        <v>75.473497599510779</v>
      </c>
      <c r="M749" s="35">
        <f t="shared" si="345"/>
        <v>100</v>
      </c>
    </row>
    <row r="750" spans="1:13" ht="25.5">
      <c r="A750" s="59" t="s">
        <v>47</v>
      </c>
      <c r="B750" s="29" t="s">
        <v>347</v>
      </c>
      <c r="C750" s="28" t="s">
        <v>17</v>
      </c>
      <c r="D750" s="28">
        <v>13</v>
      </c>
      <c r="E750" s="28" t="s">
        <v>48</v>
      </c>
      <c r="F750" s="58"/>
      <c r="G750" s="30"/>
      <c r="H750" s="36">
        <f>H751</f>
        <v>34013.9</v>
      </c>
      <c r="I750" s="36">
        <f t="shared" si="348"/>
        <v>25671.48</v>
      </c>
      <c r="J750" s="36">
        <f t="shared" si="348"/>
        <v>25671.48</v>
      </c>
      <c r="K750" s="36">
        <f t="shared" si="348"/>
        <v>25671.48</v>
      </c>
      <c r="L750" s="35">
        <f t="shared" si="343"/>
        <v>75.473497599510779</v>
      </c>
      <c r="M750" s="35">
        <f t="shared" si="345"/>
        <v>100</v>
      </c>
    </row>
    <row r="751" spans="1:13" ht="25.5">
      <c r="A751" s="59" t="s">
        <v>76</v>
      </c>
      <c r="B751" s="29" t="s">
        <v>347</v>
      </c>
      <c r="C751" s="28" t="s">
        <v>17</v>
      </c>
      <c r="D751" s="28">
        <v>13</v>
      </c>
      <c r="E751" s="28" t="s">
        <v>121</v>
      </c>
      <c r="F751" s="58"/>
      <c r="G751" s="30"/>
      <c r="H751" s="36">
        <f>H752</f>
        <v>34013.9</v>
      </c>
      <c r="I751" s="36">
        <f t="shared" si="348"/>
        <v>25671.48</v>
      </c>
      <c r="J751" s="36">
        <f t="shared" si="348"/>
        <v>25671.48</v>
      </c>
      <c r="K751" s="36">
        <f t="shared" si="348"/>
        <v>25671.48</v>
      </c>
      <c r="L751" s="35">
        <f t="shared" si="343"/>
        <v>75.473497599510779</v>
      </c>
      <c r="M751" s="35">
        <f t="shared" si="345"/>
        <v>100</v>
      </c>
    </row>
    <row r="752" spans="1:13" ht="25.5">
      <c r="A752" s="59" t="s">
        <v>80</v>
      </c>
      <c r="B752" s="29" t="s">
        <v>347</v>
      </c>
      <c r="C752" s="28" t="s">
        <v>17</v>
      </c>
      <c r="D752" s="28">
        <v>13</v>
      </c>
      <c r="E752" s="28" t="s">
        <v>121</v>
      </c>
      <c r="F752" s="28">
        <v>600</v>
      </c>
      <c r="G752" s="30"/>
      <c r="H752" s="36">
        <f>H753</f>
        <v>34013.9</v>
      </c>
      <c r="I752" s="36">
        <f t="shared" si="348"/>
        <v>25671.48</v>
      </c>
      <c r="J752" s="36">
        <f t="shared" si="348"/>
        <v>25671.48</v>
      </c>
      <c r="K752" s="36">
        <f t="shared" si="348"/>
        <v>25671.48</v>
      </c>
      <c r="L752" s="35">
        <f t="shared" si="343"/>
        <v>75.473497599510779</v>
      </c>
      <c r="M752" s="35">
        <f t="shared" si="345"/>
        <v>100</v>
      </c>
    </row>
    <row r="753" spans="1:13">
      <c r="A753" s="59" t="s">
        <v>271</v>
      </c>
      <c r="B753" s="29" t="s">
        <v>347</v>
      </c>
      <c r="C753" s="71" t="s">
        <v>17</v>
      </c>
      <c r="D753" s="58">
        <v>13</v>
      </c>
      <c r="E753" s="72" t="s">
        <v>121</v>
      </c>
      <c r="F753" s="28">
        <v>610</v>
      </c>
      <c r="G753" s="30"/>
      <c r="H753" s="36">
        <v>34013.9</v>
      </c>
      <c r="I753" s="36">
        <v>25671.48</v>
      </c>
      <c r="J753" s="36">
        <v>25671.48</v>
      </c>
      <c r="K753" s="36">
        <v>25671.48</v>
      </c>
      <c r="L753" s="35">
        <f t="shared" si="343"/>
        <v>75.473497599510779</v>
      </c>
      <c r="M753" s="35">
        <f t="shared" si="345"/>
        <v>100</v>
      </c>
    </row>
    <row r="754" spans="1:13">
      <c r="A754" s="59"/>
      <c r="B754" s="29"/>
      <c r="C754" s="71"/>
      <c r="D754" s="58"/>
      <c r="E754" s="72"/>
      <c r="F754" s="28"/>
      <c r="G754" s="30"/>
      <c r="H754" s="36"/>
      <c r="I754" s="30"/>
      <c r="J754" s="30"/>
      <c r="K754" s="30"/>
      <c r="L754" s="35"/>
      <c r="M754" s="35"/>
    </row>
    <row r="755" spans="1:13">
      <c r="A755" s="59" t="s">
        <v>30</v>
      </c>
      <c r="B755" s="28" t="s">
        <v>347</v>
      </c>
      <c r="C755" s="28" t="s">
        <v>19</v>
      </c>
      <c r="D755" s="58" t="s">
        <v>0</v>
      </c>
      <c r="E755" s="58" t="s">
        <v>0</v>
      </c>
      <c r="F755" s="58" t="s">
        <v>0</v>
      </c>
      <c r="G755" s="35">
        <f>G756</f>
        <v>9547.9</v>
      </c>
      <c r="H755" s="35">
        <f t="shared" ref="H755:K756" si="349">H756</f>
        <v>9547.9</v>
      </c>
      <c r="I755" s="35">
        <f t="shared" si="349"/>
        <v>8038.6</v>
      </c>
      <c r="J755" s="35">
        <f t="shared" si="349"/>
        <v>8038.6</v>
      </c>
      <c r="K755" s="35">
        <f t="shared" si="349"/>
        <v>8013.6</v>
      </c>
      <c r="L755" s="35">
        <f t="shared" si="343"/>
        <v>83.930497805800229</v>
      </c>
      <c r="M755" s="35">
        <f t="shared" si="345"/>
        <v>99.689000572238953</v>
      </c>
    </row>
    <row r="756" spans="1:13">
      <c r="A756" s="59" t="s">
        <v>50</v>
      </c>
      <c r="B756" s="28" t="s">
        <v>347</v>
      </c>
      <c r="C756" s="28" t="s">
        <v>19</v>
      </c>
      <c r="D756" s="28" t="s">
        <v>51</v>
      </c>
      <c r="E756" s="58" t="s">
        <v>0</v>
      </c>
      <c r="F756" s="58" t="s">
        <v>0</v>
      </c>
      <c r="G756" s="35">
        <f>G757</f>
        <v>9547.9</v>
      </c>
      <c r="H756" s="35">
        <f t="shared" si="349"/>
        <v>9547.9</v>
      </c>
      <c r="I756" s="35">
        <f t="shared" si="349"/>
        <v>8038.6</v>
      </c>
      <c r="J756" s="35">
        <f t="shared" si="349"/>
        <v>8038.6</v>
      </c>
      <c r="K756" s="35">
        <f t="shared" si="349"/>
        <v>8013.6</v>
      </c>
      <c r="L756" s="35">
        <f t="shared" si="343"/>
        <v>83.930497805800229</v>
      </c>
      <c r="M756" s="35">
        <f t="shared" si="345"/>
        <v>99.689000572238953</v>
      </c>
    </row>
    <row r="757" spans="1:13" ht="25.5">
      <c r="A757" s="59" t="s">
        <v>47</v>
      </c>
      <c r="B757" s="28" t="s">
        <v>347</v>
      </c>
      <c r="C757" s="28" t="s">
        <v>19</v>
      </c>
      <c r="D757" s="28" t="s">
        <v>51</v>
      </c>
      <c r="E757" s="28" t="s">
        <v>48</v>
      </c>
      <c r="F757" s="58" t="s">
        <v>0</v>
      </c>
      <c r="G757" s="35">
        <f>G758+G761+G764</f>
        <v>9547.9</v>
      </c>
      <c r="H757" s="35">
        <f t="shared" ref="H757:K757" si="350">H758+H761+H764</f>
        <v>9547.9</v>
      </c>
      <c r="I757" s="35">
        <f t="shared" si="350"/>
        <v>8038.6</v>
      </c>
      <c r="J757" s="35">
        <f t="shared" si="350"/>
        <v>8038.6</v>
      </c>
      <c r="K757" s="35">
        <f t="shared" si="350"/>
        <v>8013.6</v>
      </c>
      <c r="L757" s="35">
        <f t="shared" si="343"/>
        <v>83.930497805800229</v>
      </c>
      <c r="M757" s="35">
        <f t="shared" si="345"/>
        <v>99.689000572238953</v>
      </c>
    </row>
    <row r="758" spans="1:13" ht="25.5">
      <c r="A758" s="59" t="s">
        <v>76</v>
      </c>
      <c r="B758" s="28" t="s">
        <v>347</v>
      </c>
      <c r="C758" s="28" t="s">
        <v>19</v>
      </c>
      <c r="D758" s="28" t="s">
        <v>51</v>
      </c>
      <c r="E758" s="28" t="s">
        <v>121</v>
      </c>
      <c r="F758" s="58" t="s">
        <v>0</v>
      </c>
      <c r="G758" s="35">
        <f>G759</f>
        <v>6047.9</v>
      </c>
      <c r="H758" s="35">
        <f t="shared" ref="H758:K759" si="351">H759</f>
        <v>6047.9</v>
      </c>
      <c r="I758" s="35">
        <f t="shared" si="351"/>
        <v>5038.6000000000004</v>
      </c>
      <c r="J758" s="35">
        <f t="shared" si="351"/>
        <v>5038.6000000000004</v>
      </c>
      <c r="K758" s="35">
        <f t="shared" si="351"/>
        <v>5038.6000000000004</v>
      </c>
      <c r="L758" s="35">
        <f t="shared" si="343"/>
        <v>83.311562691182075</v>
      </c>
      <c r="M758" s="35">
        <f t="shared" si="345"/>
        <v>100</v>
      </c>
    </row>
    <row r="759" spans="1:13" ht="25.5">
      <c r="A759" s="59" t="s">
        <v>80</v>
      </c>
      <c r="B759" s="28" t="s">
        <v>347</v>
      </c>
      <c r="C759" s="28" t="s">
        <v>19</v>
      </c>
      <c r="D759" s="28" t="s">
        <v>51</v>
      </c>
      <c r="E759" s="28" t="s">
        <v>121</v>
      </c>
      <c r="F759" s="28" t="s">
        <v>81</v>
      </c>
      <c r="G759" s="35">
        <f>G760</f>
        <v>6047.9</v>
      </c>
      <c r="H759" s="35">
        <f t="shared" si="351"/>
        <v>6047.9</v>
      </c>
      <c r="I759" s="35">
        <f t="shared" si="351"/>
        <v>5038.6000000000004</v>
      </c>
      <c r="J759" s="35">
        <f t="shared" si="351"/>
        <v>5038.6000000000004</v>
      </c>
      <c r="K759" s="35">
        <f t="shared" si="351"/>
        <v>5038.6000000000004</v>
      </c>
      <c r="L759" s="35">
        <f t="shared" si="343"/>
        <v>83.311562691182075</v>
      </c>
      <c r="M759" s="35">
        <f t="shared" si="345"/>
        <v>100</v>
      </c>
    </row>
    <row r="760" spans="1:13">
      <c r="A760" s="59" t="s">
        <v>271</v>
      </c>
      <c r="B760" s="28" t="s">
        <v>347</v>
      </c>
      <c r="C760" s="28" t="s">
        <v>19</v>
      </c>
      <c r="D760" s="28" t="s">
        <v>51</v>
      </c>
      <c r="E760" s="28" t="s">
        <v>121</v>
      </c>
      <c r="F760" s="28" t="s">
        <v>272</v>
      </c>
      <c r="G760" s="35">
        <v>6047.9</v>
      </c>
      <c r="H760" s="35">
        <v>6047.9</v>
      </c>
      <c r="I760" s="35">
        <v>5038.6000000000004</v>
      </c>
      <c r="J760" s="35">
        <v>5038.6000000000004</v>
      </c>
      <c r="K760" s="35">
        <v>5038.6000000000004</v>
      </c>
      <c r="L760" s="35">
        <f t="shared" si="343"/>
        <v>83.311562691182075</v>
      </c>
      <c r="M760" s="35">
        <f t="shared" si="345"/>
        <v>100</v>
      </c>
    </row>
    <row r="761" spans="1:13" ht="25.5">
      <c r="A761" s="59" t="s">
        <v>348</v>
      </c>
      <c r="B761" s="28" t="s">
        <v>347</v>
      </c>
      <c r="C761" s="28" t="s">
        <v>19</v>
      </c>
      <c r="D761" s="28" t="s">
        <v>51</v>
      </c>
      <c r="E761" s="28" t="s">
        <v>349</v>
      </c>
      <c r="F761" s="58" t="s">
        <v>0</v>
      </c>
      <c r="G761" s="35">
        <f>G762</f>
        <v>3000</v>
      </c>
      <c r="H761" s="35">
        <f t="shared" ref="H761:K762" si="352">H762</f>
        <v>3000</v>
      </c>
      <c r="I761" s="35">
        <f t="shared" si="352"/>
        <v>2500</v>
      </c>
      <c r="J761" s="35">
        <f t="shared" si="352"/>
        <v>2500</v>
      </c>
      <c r="K761" s="35">
        <f t="shared" si="352"/>
        <v>2500</v>
      </c>
      <c r="L761" s="35">
        <f t="shared" si="343"/>
        <v>83.333333333333343</v>
      </c>
      <c r="M761" s="35">
        <f t="shared" si="345"/>
        <v>100</v>
      </c>
    </row>
    <row r="762" spans="1:13">
      <c r="A762" s="59" t="s">
        <v>26</v>
      </c>
      <c r="B762" s="28" t="s">
        <v>347</v>
      </c>
      <c r="C762" s="28" t="s">
        <v>19</v>
      </c>
      <c r="D762" s="28" t="s">
        <v>51</v>
      </c>
      <c r="E762" s="28" t="s">
        <v>349</v>
      </c>
      <c r="F762" s="28" t="s">
        <v>27</v>
      </c>
      <c r="G762" s="35">
        <f>G763</f>
        <v>3000</v>
      </c>
      <c r="H762" s="35">
        <f t="shared" si="352"/>
        <v>3000</v>
      </c>
      <c r="I762" s="35">
        <f t="shared" si="352"/>
        <v>2500</v>
      </c>
      <c r="J762" s="35">
        <f t="shared" si="352"/>
        <v>2500</v>
      </c>
      <c r="K762" s="35">
        <f t="shared" si="352"/>
        <v>2500</v>
      </c>
      <c r="L762" s="35">
        <f t="shared" si="343"/>
        <v>83.333333333333343</v>
      </c>
      <c r="M762" s="35">
        <f t="shared" si="345"/>
        <v>100</v>
      </c>
    </row>
    <row r="763" spans="1:13">
      <c r="A763" s="59" t="s">
        <v>56</v>
      </c>
      <c r="B763" s="28" t="s">
        <v>347</v>
      </c>
      <c r="C763" s="28" t="s">
        <v>19</v>
      </c>
      <c r="D763" s="28" t="s">
        <v>51</v>
      </c>
      <c r="E763" s="28" t="s">
        <v>349</v>
      </c>
      <c r="F763" s="28" t="s">
        <v>57</v>
      </c>
      <c r="G763" s="35">
        <v>3000</v>
      </c>
      <c r="H763" s="35">
        <v>3000</v>
      </c>
      <c r="I763" s="35">
        <v>2500</v>
      </c>
      <c r="J763" s="35">
        <v>2500</v>
      </c>
      <c r="K763" s="35">
        <v>2500</v>
      </c>
      <c r="L763" s="35">
        <f t="shared" si="343"/>
        <v>83.333333333333343</v>
      </c>
      <c r="M763" s="35">
        <f t="shared" si="345"/>
        <v>100</v>
      </c>
    </row>
    <row r="764" spans="1:13" ht="25.5">
      <c r="A764" s="59" t="s">
        <v>350</v>
      </c>
      <c r="B764" s="28" t="s">
        <v>347</v>
      </c>
      <c r="C764" s="28" t="s">
        <v>19</v>
      </c>
      <c r="D764" s="28" t="s">
        <v>51</v>
      </c>
      <c r="E764" s="28" t="s">
        <v>351</v>
      </c>
      <c r="F764" s="58" t="s">
        <v>0</v>
      </c>
      <c r="G764" s="35">
        <f>G765</f>
        <v>500</v>
      </c>
      <c r="H764" s="35">
        <f t="shared" ref="H764:K765" si="353">H765</f>
        <v>500</v>
      </c>
      <c r="I764" s="35">
        <f t="shared" si="353"/>
        <v>500</v>
      </c>
      <c r="J764" s="35">
        <f t="shared" si="353"/>
        <v>500</v>
      </c>
      <c r="K764" s="35">
        <f t="shared" si="353"/>
        <v>475</v>
      </c>
      <c r="L764" s="35">
        <f t="shared" si="343"/>
        <v>95</v>
      </c>
      <c r="M764" s="35">
        <f t="shared" si="345"/>
        <v>95</v>
      </c>
    </row>
    <row r="765" spans="1:13">
      <c r="A765" s="59" t="s">
        <v>26</v>
      </c>
      <c r="B765" s="28" t="s">
        <v>347</v>
      </c>
      <c r="C765" s="28" t="s">
        <v>19</v>
      </c>
      <c r="D765" s="28" t="s">
        <v>51</v>
      </c>
      <c r="E765" s="28" t="s">
        <v>351</v>
      </c>
      <c r="F765" s="28" t="s">
        <v>27</v>
      </c>
      <c r="G765" s="35">
        <f>G766</f>
        <v>500</v>
      </c>
      <c r="H765" s="35">
        <f t="shared" si="353"/>
        <v>500</v>
      </c>
      <c r="I765" s="35">
        <f t="shared" si="353"/>
        <v>500</v>
      </c>
      <c r="J765" s="35">
        <f t="shared" si="353"/>
        <v>500</v>
      </c>
      <c r="K765" s="35">
        <f t="shared" si="353"/>
        <v>475</v>
      </c>
      <c r="L765" s="35">
        <f t="shared" si="343"/>
        <v>95</v>
      </c>
      <c r="M765" s="35">
        <f t="shared" si="345"/>
        <v>95</v>
      </c>
    </row>
    <row r="766" spans="1:13">
      <c r="A766" s="59" t="s">
        <v>352</v>
      </c>
      <c r="B766" s="28" t="s">
        <v>347</v>
      </c>
      <c r="C766" s="28" t="s">
        <v>19</v>
      </c>
      <c r="D766" s="28" t="s">
        <v>51</v>
      </c>
      <c r="E766" s="28" t="s">
        <v>351</v>
      </c>
      <c r="F766" s="28" t="s">
        <v>353</v>
      </c>
      <c r="G766" s="35">
        <v>500</v>
      </c>
      <c r="H766" s="35">
        <v>500</v>
      </c>
      <c r="I766" s="35">
        <v>500</v>
      </c>
      <c r="J766" s="35">
        <v>500</v>
      </c>
      <c r="K766" s="35">
        <v>475</v>
      </c>
      <c r="L766" s="35">
        <f t="shared" si="343"/>
        <v>95</v>
      </c>
      <c r="M766" s="35">
        <f t="shared" si="345"/>
        <v>95</v>
      </c>
    </row>
    <row r="767" spans="1:13" s="91" customFormat="1">
      <c r="A767" s="59"/>
      <c r="B767" s="28"/>
      <c r="C767" s="28"/>
      <c r="D767" s="28"/>
      <c r="E767" s="28"/>
      <c r="F767" s="28"/>
      <c r="G767" s="35"/>
      <c r="H767" s="35"/>
      <c r="I767" s="35"/>
      <c r="J767" s="35"/>
      <c r="K767" s="35"/>
      <c r="L767" s="35"/>
      <c r="M767" s="35"/>
    </row>
    <row r="768" spans="1:13" s="91" customFormat="1">
      <c r="A768" s="62" t="s">
        <v>92</v>
      </c>
      <c r="B768" s="28" t="s">
        <v>347</v>
      </c>
      <c r="C768" s="67" t="s">
        <v>93</v>
      </c>
      <c r="D768" s="28"/>
      <c r="E768" s="28"/>
      <c r="F768" s="28"/>
      <c r="G768" s="35"/>
      <c r="H768" s="35">
        <f>H769</f>
        <v>29.23</v>
      </c>
      <c r="I768" s="35">
        <f t="shared" ref="I768:K772" si="354">I769</f>
        <v>29.23</v>
      </c>
      <c r="J768" s="35">
        <f t="shared" si="354"/>
        <v>29.23</v>
      </c>
      <c r="K768" s="35">
        <f t="shared" si="354"/>
        <v>29.23</v>
      </c>
      <c r="L768" s="35">
        <f t="shared" si="343"/>
        <v>100</v>
      </c>
      <c r="M768" s="35">
        <f t="shared" si="345"/>
        <v>100</v>
      </c>
    </row>
    <row r="769" spans="1:13" s="91" customFormat="1">
      <c r="A769" s="62" t="s">
        <v>1114</v>
      </c>
      <c r="B769" s="28" t="s">
        <v>347</v>
      </c>
      <c r="C769" s="67" t="s">
        <v>93</v>
      </c>
      <c r="D769" s="67" t="s">
        <v>150</v>
      </c>
      <c r="E769" s="28"/>
      <c r="F769" s="28"/>
      <c r="G769" s="35"/>
      <c r="H769" s="35">
        <f>H770</f>
        <v>29.23</v>
      </c>
      <c r="I769" s="35">
        <f t="shared" si="354"/>
        <v>29.23</v>
      </c>
      <c r="J769" s="35">
        <f t="shared" si="354"/>
        <v>29.23</v>
      </c>
      <c r="K769" s="35">
        <f t="shared" si="354"/>
        <v>29.23</v>
      </c>
      <c r="L769" s="35">
        <f t="shared" si="343"/>
        <v>100</v>
      </c>
      <c r="M769" s="35">
        <f t="shared" si="345"/>
        <v>100</v>
      </c>
    </row>
    <row r="770" spans="1:13" s="91" customFormat="1">
      <c r="A770" s="62" t="s">
        <v>612</v>
      </c>
      <c r="B770" s="28" t="s">
        <v>347</v>
      </c>
      <c r="C770" s="67" t="s">
        <v>93</v>
      </c>
      <c r="D770" s="67" t="s">
        <v>150</v>
      </c>
      <c r="E770" s="29" t="s">
        <v>613</v>
      </c>
      <c r="F770" s="28"/>
      <c r="G770" s="35"/>
      <c r="H770" s="35">
        <f>H771</f>
        <v>29.23</v>
      </c>
      <c r="I770" s="35">
        <f t="shared" si="354"/>
        <v>29.23</v>
      </c>
      <c r="J770" s="35">
        <f t="shared" si="354"/>
        <v>29.23</v>
      </c>
      <c r="K770" s="35">
        <f t="shared" si="354"/>
        <v>29.23</v>
      </c>
      <c r="L770" s="35">
        <f t="shared" si="343"/>
        <v>100</v>
      </c>
      <c r="M770" s="35">
        <f t="shared" si="345"/>
        <v>100</v>
      </c>
    </row>
    <row r="771" spans="1:13" s="91" customFormat="1">
      <c r="A771" s="59" t="s">
        <v>612</v>
      </c>
      <c r="B771" s="28" t="s">
        <v>347</v>
      </c>
      <c r="C771" s="67" t="s">
        <v>93</v>
      </c>
      <c r="D771" s="67" t="s">
        <v>150</v>
      </c>
      <c r="E771" s="29" t="s">
        <v>614</v>
      </c>
      <c r="F771" s="28"/>
      <c r="G771" s="35"/>
      <c r="H771" s="35">
        <f>H772</f>
        <v>29.23</v>
      </c>
      <c r="I771" s="35">
        <f t="shared" si="354"/>
        <v>29.23</v>
      </c>
      <c r="J771" s="35">
        <f t="shared" si="354"/>
        <v>29.23</v>
      </c>
      <c r="K771" s="35">
        <f t="shared" si="354"/>
        <v>29.23</v>
      </c>
      <c r="L771" s="35">
        <f t="shared" si="343"/>
        <v>100</v>
      </c>
      <c r="M771" s="35">
        <f t="shared" si="345"/>
        <v>100</v>
      </c>
    </row>
    <row r="772" spans="1:13" s="91" customFormat="1">
      <c r="A772" s="59" t="s">
        <v>26</v>
      </c>
      <c r="B772" s="28" t="s">
        <v>347</v>
      </c>
      <c r="C772" s="67" t="s">
        <v>93</v>
      </c>
      <c r="D772" s="67" t="s">
        <v>150</v>
      </c>
      <c r="E772" s="29" t="s">
        <v>614</v>
      </c>
      <c r="F772" s="28">
        <v>500</v>
      </c>
      <c r="G772" s="35"/>
      <c r="H772" s="35">
        <f>H773</f>
        <v>29.23</v>
      </c>
      <c r="I772" s="35">
        <f t="shared" si="354"/>
        <v>29.23</v>
      </c>
      <c r="J772" s="35">
        <f t="shared" si="354"/>
        <v>29.23</v>
      </c>
      <c r="K772" s="35">
        <f t="shared" si="354"/>
        <v>29.23</v>
      </c>
      <c r="L772" s="35">
        <f t="shared" si="343"/>
        <v>100</v>
      </c>
      <c r="M772" s="35">
        <f t="shared" si="345"/>
        <v>100</v>
      </c>
    </row>
    <row r="773" spans="1:13" s="91" customFormat="1">
      <c r="A773" s="59" t="s">
        <v>352</v>
      </c>
      <c r="B773" s="28" t="s">
        <v>347</v>
      </c>
      <c r="C773" s="67" t="s">
        <v>93</v>
      </c>
      <c r="D773" s="67" t="s">
        <v>150</v>
      </c>
      <c r="E773" s="29" t="s">
        <v>614</v>
      </c>
      <c r="F773" s="28">
        <v>540</v>
      </c>
      <c r="G773" s="35"/>
      <c r="H773" s="35">
        <v>29.23</v>
      </c>
      <c r="I773" s="35">
        <v>29.23</v>
      </c>
      <c r="J773" s="35">
        <v>29.23</v>
      </c>
      <c r="K773" s="35">
        <v>29.23</v>
      </c>
      <c r="L773" s="35">
        <f t="shared" si="343"/>
        <v>100</v>
      </c>
      <c r="M773" s="35">
        <f t="shared" si="345"/>
        <v>100</v>
      </c>
    </row>
    <row r="774" spans="1:13">
      <c r="A774" s="60" t="s">
        <v>0</v>
      </c>
      <c r="B774" s="58" t="s">
        <v>0</v>
      </c>
      <c r="C774" s="58" t="s">
        <v>0</v>
      </c>
      <c r="D774" s="58" t="s">
        <v>0</v>
      </c>
      <c r="E774" s="58" t="s">
        <v>0</v>
      </c>
      <c r="F774" s="58" t="s">
        <v>0</v>
      </c>
      <c r="G774" s="61" t="s">
        <v>0</v>
      </c>
      <c r="H774" s="61" t="s">
        <v>0</v>
      </c>
      <c r="I774" s="61" t="s">
        <v>0</v>
      </c>
      <c r="J774" s="61" t="s">
        <v>0</v>
      </c>
      <c r="K774" s="61" t="s">
        <v>0</v>
      </c>
      <c r="L774" s="35"/>
      <c r="M774" s="35"/>
    </row>
    <row r="775" spans="1:13">
      <c r="A775" s="59" t="s">
        <v>109</v>
      </c>
      <c r="B775" s="28" t="s">
        <v>347</v>
      </c>
      <c r="C775" s="28" t="s">
        <v>110</v>
      </c>
      <c r="D775" s="58" t="s">
        <v>0</v>
      </c>
      <c r="E775" s="58" t="s">
        <v>0</v>
      </c>
      <c r="F775" s="58" t="s">
        <v>0</v>
      </c>
      <c r="G775" s="35">
        <f>G776+G791</f>
        <v>134664.4</v>
      </c>
      <c r="H775" s="35">
        <f t="shared" ref="H775:K775" si="355">H776+H791</f>
        <v>135747.48212999999</v>
      </c>
      <c r="I775" s="35">
        <f t="shared" si="355"/>
        <v>104079.39813</v>
      </c>
      <c r="J775" s="35">
        <f t="shared" si="355"/>
        <v>104079.39813</v>
      </c>
      <c r="K775" s="35">
        <f t="shared" si="355"/>
        <v>104079.39813</v>
      </c>
      <c r="L775" s="35">
        <f t="shared" si="343"/>
        <v>76.671328629379133</v>
      </c>
      <c r="M775" s="35">
        <f t="shared" si="345"/>
        <v>100</v>
      </c>
    </row>
    <row r="776" spans="1:13">
      <c r="A776" s="59" t="s">
        <v>119</v>
      </c>
      <c r="B776" s="28" t="s">
        <v>347</v>
      </c>
      <c r="C776" s="28" t="s">
        <v>110</v>
      </c>
      <c r="D776" s="28" t="s">
        <v>106</v>
      </c>
      <c r="E776" s="58" t="s">
        <v>0</v>
      </c>
      <c r="F776" s="58" t="s">
        <v>0</v>
      </c>
      <c r="G776" s="35">
        <f>G777</f>
        <v>29214.400000000001</v>
      </c>
      <c r="H776" s="35">
        <f>H777+H787</f>
        <v>30397.48213</v>
      </c>
      <c r="I776" s="35">
        <f t="shared" ref="I776:K776" si="356">I777+I787</f>
        <v>22752.898130000001</v>
      </c>
      <c r="J776" s="35">
        <f t="shared" si="356"/>
        <v>22752.898130000001</v>
      </c>
      <c r="K776" s="35">
        <f t="shared" si="356"/>
        <v>22752.898130000001</v>
      </c>
      <c r="L776" s="35">
        <f t="shared" si="343"/>
        <v>74.851259169076457</v>
      </c>
      <c r="M776" s="35">
        <f t="shared" si="345"/>
        <v>100</v>
      </c>
    </row>
    <row r="777" spans="1:13" ht="25.5">
      <c r="A777" s="59" t="s">
        <v>47</v>
      </c>
      <c r="B777" s="28" t="s">
        <v>347</v>
      </c>
      <c r="C777" s="28" t="s">
        <v>110</v>
      </c>
      <c r="D777" s="28" t="s">
        <v>106</v>
      </c>
      <c r="E777" s="28" t="s">
        <v>48</v>
      </c>
      <c r="F777" s="58" t="s">
        <v>0</v>
      </c>
      <c r="G777" s="35">
        <f>G778+G781+G784</f>
        <v>29214.400000000001</v>
      </c>
      <c r="H777" s="35">
        <f t="shared" ref="H777:K777" si="357">H778+H781+H784</f>
        <v>29764.39213</v>
      </c>
      <c r="I777" s="35">
        <f t="shared" si="357"/>
        <v>22119.808130000001</v>
      </c>
      <c r="J777" s="35">
        <f t="shared" si="357"/>
        <v>22119.808130000001</v>
      </c>
      <c r="K777" s="35">
        <f t="shared" si="357"/>
        <v>22119.808130000001</v>
      </c>
      <c r="L777" s="35">
        <f t="shared" si="343"/>
        <v>74.316344286114614</v>
      </c>
      <c r="M777" s="35">
        <f t="shared" si="345"/>
        <v>100</v>
      </c>
    </row>
    <row r="778" spans="1:13" ht="25.5">
      <c r="A778" s="59" t="s">
        <v>354</v>
      </c>
      <c r="B778" s="28" t="s">
        <v>347</v>
      </c>
      <c r="C778" s="28" t="s">
        <v>110</v>
      </c>
      <c r="D778" s="28" t="s">
        <v>106</v>
      </c>
      <c r="E778" s="28" t="s">
        <v>355</v>
      </c>
      <c r="F778" s="58" t="s">
        <v>0</v>
      </c>
      <c r="G778" s="35">
        <f>G779</f>
        <v>780.4</v>
      </c>
      <c r="H778" s="35">
        <f t="shared" ref="H778:K779" si="358">H779</f>
        <v>780.39212999999995</v>
      </c>
      <c r="I778" s="35">
        <f t="shared" si="358"/>
        <v>780.39212999999995</v>
      </c>
      <c r="J778" s="35">
        <f t="shared" si="358"/>
        <v>780.39212999999995</v>
      </c>
      <c r="K778" s="35">
        <f t="shared" si="358"/>
        <v>780.39212999999995</v>
      </c>
      <c r="L778" s="35">
        <f t="shared" si="343"/>
        <v>100</v>
      </c>
      <c r="M778" s="35">
        <f t="shared" si="345"/>
        <v>100</v>
      </c>
    </row>
    <row r="779" spans="1:13">
      <c r="A779" s="59" t="s">
        <v>26</v>
      </c>
      <c r="B779" s="28" t="s">
        <v>347</v>
      </c>
      <c r="C779" s="28" t="s">
        <v>110</v>
      </c>
      <c r="D779" s="28" t="s">
        <v>106</v>
      </c>
      <c r="E779" s="28" t="s">
        <v>355</v>
      </c>
      <c r="F779" s="28" t="s">
        <v>27</v>
      </c>
      <c r="G779" s="35">
        <f>G780</f>
        <v>780.4</v>
      </c>
      <c r="H779" s="35">
        <f t="shared" si="358"/>
        <v>780.39212999999995</v>
      </c>
      <c r="I779" s="35">
        <f t="shared" si="358"/>
        <v>780.39212999999995</v>
      </c>
      <c r="J779" s="35">
        <f t="shared" si="358"/>
        <v>780.39212999999995</v>
      </c>
      <c r="K779" s="35">
        <f t="shared" si="358"/>
        <v>780.39212999999995</v>
      </c>
      <c r="L779" s="35">
        <f t="shared" si="343"/>
        <v>100</v>
      </c>
      <c r="M779" s="35">
        <f t="shared" si="345"/>
        <v>100</v>
      </c>
    </row>
    <row r="780" spans="1:13">
      <c r="A780" s="59" t="s">
        <v>56</v>
      </c>
      <c r="B780" s="28" t="s">
        <v>347</v>
      </c>
      <c r="C780" s="28" t="s">
        <v>110</v>
      </c>
      <c r="D780" s="28" t="s">
        <v>106</v>
      </c>
      <c r="E780" s="28" t="s">
        <v>355</v>
      </c>
      <c r="F780" s="28" t="s">
        <v>57</v>
      </c>
      <c r="G780" s="35">
        <v>780.4</v>
      </c>
      <c r="H780" s="35">
        <v>780.39212999999995</v>
      </c>
      <c r="I780" s="35">
        <v>780.39212999999995</v>
      </c>
      <c r="J780" s="35">
        <v>780.39212999999995</v>
      </c>
      <c r="K780" s="35">
        <v>780.39212999999995</v>
      </c>
      <c r="L780" s="35">
        <f t="shared" si="343"/>
        <v>100</v>
      </c>
      <c r="M780" s="35">
        <f t="shared" si="345"/>
        <v>100</v>
      </c>
    </row>
    <row r="781" spans="1:13" ht="25.5">
      <c r="A781" s="59" t="s">
        <v>76</v>
      </c>
      <c r="B781" s="28" t="s">
        <v>347</v>
      </c>
      <c r="C781" s="28" t="s">
        <v>110</v>
      </c>
      <c r="D781" s="28" t="s">
        <v>106</v>
      </c>
      <c r="E781" s="28" t="s">
        <v>121</v>
      </c>
      <c r="F781" s="58" t="s">
        <v>0</v>
      </c>
      <c r="G781" s="35">
        <f>G782</f>
        <v>28141.7</v>
      </c>
      <c r="H781" s="35">
        <f t="shared" ref="H781:K782" si="359">H782</f>
        <v>28691.7</v>
      </c>
      <c r="I781" s="35">
        <f t="shared" si="359"/>
        <v>21047.116000000002</v>
      </c>
      <c r="J781" s="35">
        <f t="shared" si="359"/>
        <v>21047.116000000002</v>
      </c>
      <c r="K781" s="35">
        <f t="shared" si="359"/>
        <v>21047.116000000002</v>
      </c>
      <c r="L781" s="35">
        <f t="shared" si="343"/>
        <v>73.356113440472342</v>
      </c>
      <c r="M781" s="35">
        <f t="shared" si="345"/>
        <v>100</v>
      </c>
    </row>
    <row r="782" spans="1:13" ht="25.5">
      <c r="A782" s="59" t="s">
        <v>80</v>
      </c>
      <c r="B782" s="28" t="s">
        <v>347</v>
      </c>
      <c r="C782" s="28" t="s">
        <v>110</v>
      </c>
      <c r="D782" s="28" t="s">
        <v>106</v>
      </c>
      <c r="E782" s="28" t="s">
        <v>121</v>
      </c>
      <c r="F782" s="28" t="s">
        <v>81</v>
      </c>
      <c r="G782" s="35">
        <f>G783</f>
        <v>28141.7</v>
      </c>
      <c r="H782" s="35">
        <f t="shared" si="359"/>
        <v>28691.7</v>
      </c>
      <c r="I782" s="35">
        <f t="shared" si="359"/>
        <v>21047.116000000002</v>
      </c>
      <c r="J782" s="35">
        <f t="shared" si="359"/>
        <v>21047.116000000002</v>
      </c>
      <c r="K782" s="35">
        <f t="shared" si="359"/>
        <v>21047.116000000002</v>
      </c>
      <c r="L782" s="35">
        <f t="shared" si="343"/>
        <v>73.356113440472342</v>
      </c>
      <c r="M782" s="35">
        <f t="shared" si="345"/>
        <v>100</v>
      </c>
    </row>
    <row r="783" spans="1:13">
      <c r="A783" s="59" t="s">
        <v>271</v>
      </c>
      <c r="B783" s="28" t="s">
        <v>347</v>
      </c>
      <c r="C783" s="28" t="s">
        <v>110</v>
      </c>
      <c r="D783" s="28" t="s">
        <v>106</v>
      </c>
      <c r="E783" s="28" t="s">
        <v>121</v>
      </c>
      <c r="F783" s="28" t="s">
        <v>272</v>
      </c>
      <c r="G783" s="35">
        <v>28141.7</v>
      </c>
      <c r="H783" s="35">
        <v>28691.7</v>
      </c>
      <c r="I783" s="35">
        <v>21047.116000000002</v>
      </c>
      <c r="J783" s="35">
        <v>21047.116000000002</v>
      </c>
      <c r="K783" s="35">
        <v>21047.116000000002</v>
      </c>
      <c r="L783" s="35">
        <f t="shared" si="343"/>
        <v>73.356113440472342</v>
      </c>
      <c r="M783" s="35">
        <f t="shared" si="345"/>
        <v>100</v>
      </c>
    </row>
    <row r="784" spans="1:13" ht="38.25">
      <c r="A784" s="59" t="s">
        <v>132</v>
      </c>
      <c r="B784" s="28" t="s">
        <v>347</v>
      </c>
      <c r="C784" s="28" t="s">
        <v>110</v>
      </c>
      <c r="D784" s="28" t="s">
        <v>106</v>
      </c>
      <c r="E784" s="28" t="s">
        <v>133</v>
      </c>
      <c r="F784" s="58" t="s">
        <v>0</v>
      </c>
      <c r="G784" s="35">
        <f>G785</f>
        <v>292.3</v>
      </c>
      <c r="H784" s="35">
        <f t="shared" ref="H784:K785" si="360">H785</f>
        <v>292.3</v>
      </c>
      <c r="I784" s="35">
        <f t="shared" si="360"/>
        <v>292.3</v>
      </c>
      <c r="J784" s="35">
        <f t="shared" si="360"/>
        <v>292.3</v>
      </c>
      <c r="K784" s="35">
        <f t="shared" si="360"/>
        <v>292.3</v>
      </c>
      <c r="L784" s="35">
        <f t="shared" si="343"/>
        <v>100</v>
      </c>
      <c r="M784" s="35">
        <f t="shared" si="345"/>
        <v>100</v>
      </c>
    </row>
    <row r="785" spans="1:13" ht="25.5">
      <c r="A785" s="59" t="s">
        <v>80</v>
      </c>
      <c r="B785" s="28" t="s">
        <v>347</v>
      </c>
      <c r="C785" s="28" t="s">
        <v>110</v>
      </c>
      <c r="D785" s="28" t="s">
        <v>106</v>
      </c>
      <c r="E785" s="28" t="s">
        <v>133</v>
      </c>
      <c r="F785" s="28" t="s">
        <v>81</v>
      </c>
      <c r="G785" s="35">
        <f>G786</f>
        <v>292.3</v>
      </c>
      <c r="H785" s="35">
        <f t="shared" si="360"/>
        <v>292.3</v>
      </c>
      <c r="I785" s="35">
        <f t="shared" si="360"/>
        <v>292.3</v>
      </c>
      <c r="J785" s="35">
        <f t="shared" si="360"/>
        <v>292.3</v>
      </c>
      <c r="K785" s="35">
        <f t="shared" si="360"/>
        <v>292.3</v>
      </c>
      <c r="L785" s="35">
        <f t="shared" si="343"/>
        <v>100</v>
      </c>
      <c r="M785" s="35">
        <f t="shared" si="345"/>
        <v>100</v>
      </c>
    </row>
    <row r="786" spans="1:13">
      <c r="A786" s="59" t="s">
        <v>271</v>
      </c>
      <c r="B786" s="28" t="s">
        <v>347</v>
      </c>
      <c r="C786" s="28" t="s">
        <v>110</v>
      </c>
      <c r="D786" s="28" t="s">
        <v>106</v>
      </c>
      <c r="E786" s="28" t="s">
        <v>133</v>
      </c>
      <c r="F786" s="28" t="s">
        <v>272</v>
      </c>
      <c r="G786" s="35">
        <v>292.3</v>
      </c>
      <c r="H786" s="35">
        <v>292.3</v>
      </c>
      <c r="I786" s="35">
        <v>292.3</v>
      </c>
      <c r="J786" s="35">
        <v>292.3</v>
      </c>
      <c r="K786" s="35">
        <v>292.3</v>
      </c>
      <c r="L786" s="35">
        <f t="shared" si="343"/>
        <v>100</v>
      </c>
      <c r="M786" s="35">
        <f t="shared" si="345"/>
        <v>100</v>
      </c>
    </row>
    <row r="787" spans="1:13">
      <c r="A787" s="62" t="s">
        <v>612</v>
      </c>
      <c r="B787" s="28" t="s">
        <v>347</v>
      </c>
      <c r="C787" s="28" t="s">
        <v>110</v>
      </c>
      <c r="D787" s="28" t="s">
        <v>106</v>
      </c>
      <c r="E787" s="29" t="s">
        <v>613</v>
      </c>
      <c r="F787" s="28"/>
      <c r="G787" s="35"/>
      <c r="H787" s="35">
        <f>H788</f>
        <v>633.09</v>
      </c>
      <c r="I787" s="35">
        <f t="shared" ref="I787:K789" si="361">I788</f>
        <v>633.09</v>
      </c>
      <c r="J787" s="35">
        <f t="shared" si="361"/>
        <v>633.09</v>
      </c>
      <c r="K787" s="35">
        <f t="shared" si="361"/>
        <v>633.09</v>
      </c>
      <c r="L787" s="35">
        <f t="shared" si="343"/>
        <v>100</v>
      </c>
      <c r="M787" s="35">
        <f t="shared" si="345"/>
        <v>100</v>
      </c>
    </row>
    <row r="788" spans="1:13">
      <c r="A788" s="62" t="s">
        <v>612</v>
      </c>
      <c r="B788" s="28" t="s">
        <v>347</v>
      </c>
      <c r="C788" s="28" t="s">
        <v>110</v>
      </c>
      <c r="D788" s="28" t="s">
        <v>106</v>
      </c>
      <c r="E788" s="29" t="s">
        <v>614</v>
      </c>
      <c r="F788" s="28"/>
      <c r="G788" s="35"/>
      <c r="H788" s="35">
        <f>H789</f>
        <v>633.09</v>
      </c>
      <c r="I788" s="35">
        <f t="shared" si="361"/>
        <v>633.09</v>
      </c>
      <c r="J788" s="35">
        <f t="shared" si="361"/>
        <v>633.09</v>
      </c>
      <c r="K788" s="35">
        <f t="shared" si="361"/>
        <v>633.09</v>
      </c>
      <c r="L788" s="35">
        <f t="shared" si="343"/>
        <v>100</v>
      </c>
      <c r="M788" s="35">
        <f t="shared" si="345"/>
        <v>100</v>
      </c>
    </row>
    <row r="789" spans="1:13">
      <c r="A789" s="59" t="s">
        <v>26</v>
      </c>
      <c r="B789" s="28" t="s">
        <v>347</v>
      </c>
      <c r="C789" s="28" t="s">
        <v>110</v>
      </c>
      <c r="D789" s="28" t="s">
        <v>106</v>
      </c>
      <c r="E789" s="29" t="s">
        <v>614</v>
      </c>
      <c r="F789" s="28">
        <v>500</v>
      </c>
      <c r="G789" s="35"/>
      <c r="H789" s="35">
        <f>H790</f>
        <v>633.09</v>
      </c>
      <c r="I789" s="35">
        <f t="shared" si="361"/>
        <v>633.09</v>
      </c>
      <c r="J789" s="35">
        <f t="shared" si="361"/>
        <v>633.09</v>
      </c>
      <c r="K789" s="35">
        <f t="shared" si="361"/>
        <v>633.09</v>
      </c>
      <c r="L789" s="35">
        <f t="shared" si="343"/>
        <v>100</v>
      </c>
      <c r="M789" s="35">
        <f t="shared" si="345"/>
        <v>100</v>
      </c>
    </row>
    <row r="790" spans="1:13">
      <c r="A790" s="59" t="s">
        <v>352</v>
      </c>
      <c r="B790" s="28" t="s">
        <v>347</v>
      </c>
      <c r="C790" s="28" t="s">
        <v>110</v>
      </c>
      <c r="D790" s="28" t="s">
        <v>106</v>
      </c>
      <c r="E790" s="29" t="s">
        <v>614</v>
      </c>
      <c r="F790" s="28">
        <v>540</v>
      </c>
      <c r="G790" s="35"/>
      <c r="H790" s="35">
        <v>633.09</v>
      </c>
      <c r="I790" s="35">
        <v>633.09</v>
      </c>
      <c r="J790" s="35">
        <v>633.09</v>
      </c>
      <c r="K790" s="35">
        <v>633.09</v>
      </c>
      <c r="L790" s="35">
        <f t="shared" si="343"/>
        <v>100</v>
      </c>
      <c r="M790" s="35">
        <f t="shared" si="345"/>
        <v>100</v>
      </c>
    </row>
    <row r="791" spans="1:13">
      <c r="A791" s="59" t="s">
        <v>127</v>
      </c>
      <c r="B791" s="28" t="s">
        <v>347</v>
      </c>
      <c r="C791" s="28" t="s">
        <v>110</v>
      </c>
      <c r="D791" s="28" t="s">
        <v>19</v>
      </c>
      <c r="E791" s="58" t="s">
        <v>0</v>
      </c>
      <c r="F791" s="58" t="s">
        <v>0</v>
      </c>
      <c r="G791" s="35">
        <f>G792</f>
        <v>105450</v>
      </c>
      <c r="H791" s="35">
        <f>H792+H796</f>
        <v>105350</v>
      </c>
      <c r="I791" s="35">
        <f t="shared" ref="I791:J791" si="362">I792+I796</f>
        <v>81326.5</v>
      </c>
      <c r="J791" s="35">
        <f t="shared" si="362"/>
        <v>81326.5</v>
      </c>
      <c r="K791" s="35">
        <f t="shared" ref="H791:K794" si="363">K792</f>
        <v>81326.5</v>
      </c>
      <c r="L791" s="35">
        <f t="shared" si="343"/>
        <v>77.196487897484573</v>
      </c>
      <c r="M791" s="35">
        <f t="shared" si="345"/>
        <v>100</v>
      </c>
    </row>
    <row r="792" spans="1:13" ht="25.5">
      <c r="A792" s="59" t="s">
        <v>47</v>
      </c>
      <c r="B792" s="28" t="s">
        <v>347</v>
      </c>
      <c r="C792" s="28" t="s">
        <v>110</v>
      </c>
      <c r="D792" s="28" t="s">
        <v>19</v>
      </c>
      <c r="E792" s="28" t="s">
        <v>48</v>
      </c>
      <c r="F792" s="58" t="s">
        <v>0</v>
      </c>
      <c r="G792" s="35">
        <f>G793</f>
        <v>105450</v>
      </c>
      <c r="H792" s="35">
        <f t="shared" si="363"/>
        <v>105300</v>
      </c>
      <c r="I792" s="35">
        <f t="shared" si="363"/>
        <v>81326.5</v>
      </c>
      <c r="J792" s="35">
        <f t="shared" si="363"/>
        <v>81326.5</v>
      </c>
      <c r="K792" s="35">
        <f t="shared" si="363"/>
        <v>81326.5</v>
      </c>
      <c r="L792" s="35">
        <f t="shared" si="343"/>
        <v>77.233143399810061</v>
      </c>
      <c r="M792" s="35">
        <f t="shared" si="345"/>
        <v>100</v>
      </c>
    </row>
    <row r="793" spans="1:13" ht="25.5">
      <c r="A793" s="59" t="s">
        <v>76</v>
      </c>
      <c r="B793" s="28" t="s">
        <v>347</v>
      </c>
      <c r="C793" s="28" t="s">
        <v>110</v>
      </c>
      <c r="D793" s="28" t="s">
        <v>19</v>
      </c>
      <c r="E793" s="28" t="s">
        <v>121</v>
      </c>
      <c r="F793" s="58" t="s">
        <v>0</v>
      </c>
      <c r="G793" s="35">
        <f>G794</f>
        <v>105450</v>
      </c>
      <c r="H793" s="35">
        <f t="shared" si="363"/>
        <v>105300</v>
      </c>
      <c r="I793" s="35">
        <f t="shared" si="363"/>
        <v>81326.5</v>
      </c>
      <c r="J793" s="35">
        <f t="shared" si="363"/>
        <v>81326.5</v>
      </c>
      <c r="K793" s="35">
        <f t="shared" si="363"/>
        <v>81326.5</v>
      </c>
      <c r="L793" s="35">
        <f t="shared" si="343"/>
        <v>77.233143399810061</v>
      </c>
      <c r="M793" s="35">
        <f t="shared" si="345"/>
        <v>100</v>
      </c>
    </row>
    <row r="794" spans="1:13" ht="25.5">
      <c r="A794" s="59" t="s">
        <v>80</v>
      </c>
      <c r="B794" s="28" t="s">
        <v>347</v>
      </c>
      <c r="C794" s="28" t="s">
        <v>110</v>
      </c>
      <c r="D794" s="28" t="s">
        <v>19</v>
      </c>
      <c r="E794" s="28" t="s">
        <v>121</v>
      </c>
      <c r="F794" s="28" t="s">
        <v>81</v>
      </c>
      <c r="G794" s="35">
        <f>G795</f>
        <v>105450</v>
      </c>
      <c r="H794" s="35">
        <f t="shared" si="363"/>
        <v>105300</v>
      </c>
      <c r="I794" s="35">
        <f t="shared" si="363"/>
        <v>81326.5</v>
      </c>
      <c r="J794" s="35">
        <f t="shared" si="363"/>
        <v>81326.5</v>
      </c>
      <c r="K794" s="35">
        <f t="shared" si="363"/>
        <v>81326.5</v>
      </c>
      <c r="L794" s="35">
        <f t="shared" si="343"/>
        <v>77.233143399810061</v>
      </c>
      <c r="M794" s="35">
        <f t="shared" si="345"/>
        <v>100</v>
      </c>
    </row>
    <row r="795" spans="1:13">
      <c r="A795" s="59" t="s">
        <v>271</v>
      </c>
      <c r="B795" s="28" t="s">
        <v>347</v>
      </c>
      <c r="C795" s="28" t="s">
        <v>110</v>
      </c>
      <c r="D795" s="28" t="s">
        <v>19</v>
      </c>
      <c r="E795" s="28" t="s">
        <v>121</v>
      </c>
      <c r="F795" s="28" t="s">
        <v>272</v>
      </c>
      <c r="G795" s="35">
        <v>105450</v>
      </c>
      <c r="H795" s="35">
        <v>105300</v>
      </c>
      <c r="I795" s="35">
        <v>81326.5</v>
      </c>
      <c r="J795" s="35">
        <v>81326.5</v>
      </c>
      <c r="K795" s="35">
        <v>81326.5</v>
      </c>
      <c r="L795" s="35">
        <f t="shared" si="343"/>
        <v>77.233143399810061</v>
      </c>
      <c r="M795" s="35">
        <f t="shared" si="345"/>
        <v>100</v>
      </c>
    </row>
    <row r="796" spans="1:13" s="91" customFormat="1" ht="56.25" customHeight="1">
      <c r="A796" s="59" t="s">
        <v>377</v>
      </c>
      <c r="B796" s="28" t="s">
        <v>347</v>
      </c>
      <c r="C796" s="28" t="s">
        <v>110</v>
      </c>
      <c r="D796" s="28" t="s">
        <v>19</v>
      </c>
      <c r="E796" s="29" t="s">
        <v>378</v>
      </c>
      <c r="F796" s="28"/>
      <c r="G796" s="35">
        <v>0</v>
      </c>
      <c r="H796" s="35">
        <f>H797</f>
        <v>50</v>
      </c>
      <c r="I796" s="35">
        <f t="shared" ref="I796:K798" si="364">I797</f>
        <v>0</v>
      </c>
      <c r="J796" s="35">
        <f t="shared" si="364"/>
        <v>0</v>
      </c>
      <c r="K796" s="35">
        <f t="shared" si="364"/>
        <v>0</v>
      </c>
      <c r="L796" s="35">
        <f t="shared" si="343"/>
        <v>0</v>
      </c>
      <c r="M796" s="35">
        <v>0</v>
      </c>
    </row>
    <row r="797" spans="1:13" s="91" customFormat="1" ht="25.5">
      <c r="A797" s="59" t="s">
        <v>76</v>
      </c>
      <c r="B797" s="28" t="s">
        <v>347</v>
      </c>
      <c r="C797" s="28" t="s">
        <v>110</v>
      </c>
      <c r="D797" s="28" t="s">
        <v>19</v>
      </c>
      <c r="E797" s="29" t="s">
        <v>379</v>
      </c>
      <c r="F797" s="28"/>
      <c r="G797" s="35">
        <v>0</v>
      </c>
      <c r="H797" s="35">
        <f>H798</f>
        <v>50</v>
      </c>
      <c r="I797" s="35">
        <f t="shared" si="364"/>
        <v>0</v>
      </c>
      <c r="J797" s="35">
        <f t="shared" si="364"/>
        <v>0</v>
      </c>
      <c r="K797" s="35">
        <f t="shared" si="364"/>
        <v>0</v>
      </c>
      <c r="L797" s="35">
        <f t="shared" si="343"/>
        <v>0</v>
      </c>
      <c r="M797" s="35">
        <v>0</v>
      </c>
    </row>
    <row r="798" spans="1:13" s="91" customFormat="1" ht="25.5">
      <c r="A798" s="59" t="s">
        <v>80</v>
      </c>
      <c r="B798" s="28" t="s">
        <v>347</v>
      </c>
      <c r="C798" s="28" t="s">
        <v>110</v>
      </c>
      <c r="D798" s="28" t="s">
        <v>19</v>
      </c>
      <c r="E798" s="29" t="s">
        <v>379</v>
      </c>
      <c r="F798" s="28">
        <v>600</v>
      </c>
      <c r="G798" s="35">
        <v>0</v>
      </c>
      <c r="H798" s="35">
        <f>H799</f>
        <v>50</v>
      </c>
      <c r="I798" s="35">
        <f t="shared" si="364"/>
        <v>0</v>
      </c>
      <c r="J798" s="35">
        <f t="shared" si="364"/>
        <v>0</v>
      </c>
      <c r="K798" s="35">
        <f t="shared" si="364"/>
        <v>0</v>
      </c>
      <c r="L798" s="35">
        <f t="shared" si="343"/>
        <v>0</v>
      </c>
      <c r="M798" s="35">
        <v>0</v>
      </c>
    </row>
    <row r="799" spans="1:13" s="91" customFormat="1">
      <c r="A799" s="59" t="s">
        <v>271</v>
      </c>
      <c r="B799" s="28" t="s">
        <v>347</v>
      </c>
      <c r="C799" s="28" t="s">
        <v>110</v>
      </c>
      <c r="D799" s="28" t="s">
        <v>19</v>
      </c>
      <c r="E799" s="29" t="s">
        <v>379</v>
      </c>
      <c r="F799" s="28">
        <v>610</v>
      </c>
      <c r="G799" s="35">
        <v>0</v>
      </c>
      <c r="H799" s="35">
        <v>50</v>
      </c>
      <c r="I799" s="35">
        <v>0</v>
      </c>
      <c r="J799" s="35">
        <v>0</v>
      </c>
      <c r="K799" s="35">
        <v>0</v>
      </c>
      <c r="L799" s="35">
        <f t="shared" si="343"/>
        <v>0</v>
      </c>
      <c r="M799" s="35">
        <v>0</v>
      </c>
    </row>
    <row r="800" spans="1:13">
      <c r="A800" s="60" t="s">
        <v>0</v>
      </c>
      <c r="B800" s="58" t="s">
        <v>0</v>
      </c>
      <c r="C800" s="58" t="s">
        <v>0</v>
      </c>
      <c r="D800" s="58" t="s">
        <v>0</v>
      </c>
      <c r="E800" s="58" t="s">
        <v>0</v>
      </c>
      <c r="F800" s="58" t="s">
        <v>0</v>
      </c>
      <c r="G800" s="61" t="s">
        <v>0</v>
      </c>
      <c r="H800" s="61" t="s">
        <v>0</v>
      </c>
      <c r="I800" s="61" t="s">
        <v>0</v>
      </c>
      <c r="J800" s="61" t="s">
        <v>0</v>
      </c>
      <c r="K800" s="61" t="s">
        <v>0</v>
      </c>
      <c r="L800" s="35"/>
      <c r="M800" s="35"/>
    </row>
    <row r="801" spans="1:13">
      <c r="A801" s="59" t="s">
        <v>129</v>
      </c>
      <c r="B801" s="28" t="s">
        <v>347</v>
      </c>
      <c r="C801" s="28" t="s">
        <v>130</v>
      </c>
      <c r="D801" s="58" t="s">
        <v>0</v>
      </c>
      <c r="E801" s="58" t="s">
        <v>0</v>
      </c>
      <c r="F801" s="58" t="s">
        <v>0</v>
      </c>
      <c r="G801" s="35">
        <f>G802+G865</f>
        <v>618030.60000000009</v>
      </c>
      <c r="H801" s="35">
        <f t="shared" ref="H801:K801" si="365">H802+H865</f>
        <v>663175.02087000024</v>
      </c>
      <c r="I801" s="35">
        <f t="shared" si="365"/>
        <v>498400.65139000001</v>
      </c>
      <c r="J801" s="35">
        <f t="shared" si="365"/>
        <v>498396.65139000001</v>
      </c>
      <c r="K801" s="35">
        <f t="shared" si="365"/>
        <v>497416.18411000003</v>
      </c>
      <c r="L801" s="35">
        <f t="shared" si="343"/>
        <v>75.005265345708295</v>
      </c>
      <c r="M801" s="35">
        <f t="shared" si="345"/>
        <v>99.802474720437388</v>
      </c>
    </row>
    <row r="802" spans="1:13">
      <c r="A802" s="59" t="s">
        <v>131</v>
      </c>
      <c r="B802" s="28" t="s">
        <v>347</v>
      </c>
      <c r="C802" s="28" t="s">
        <v>130</v>
      </c>
      <c r="D802" s="28" t="s">
        <v>17</v>
      </c>
      <c r="E802" s="58" t="s">
        <v>0</v>
      </c>
      <c r="F802" s="58" t="s">
        <v>0</v>
      </c>
      <c r="G802" s="35">
        <f>G803+G821+G855</f>
        <v>579919.80000000005</v>
      </c>
      <c r="H802" s="35">
        <f>H803+H821+H855+H859</f>
        <v>616817.62087000022</v>
      </c>
      <c r="I802" s="35">
        <f t="shared" ref="I802:K802" si="366">I803+I821+I855+I859</f>
        <v>466289.22006999998</v>
      </c>
      <c r="J802" s="35">
        <f t="shared" si="366"/>
        <v>466289.22006999998</v>
      </c>
      <c r="K802" s="35">
        <f t="shared" si="366"/>
        <v>466264.12007</v>
      </c>
      <c r="L802" s="35">
        <f t="shared" si="343"/>
        <v>75.591893664183971</v>
      </c>
      <c r="M802" s="35">
        <f t="shared" si="345"/>
        <v>99.994617074785424</v>
      </c>
    </row>
    <row r="803" spans="1:13" ht="38.25">
      <c r="A803" s="59" t="s">
        <v>299</v>
      </c>
      <c r="B803" s="28" t="s">
        <v>347</v>
      </c>
      <c r="C803" s="28" t="s">
        <v>130</v>
      </c>
      <c r="D803" s="28" t="s">
        <v>17</v>
      </c>
      <c r="E803" s="28" t="s">
        <v>300</v>
      </c>
      <c r="F803" s="58" t="s">
        <v>0</v>
      </c>
      <c r="G803" s="35">
        <f>G804</f>
        <v>1145.4000000000001</v>
      </c>
      <c r="H803" s="35">
        <f t="shared" ref="H803:K803" si="367">H804</f>
        <v>3445.4</v>
      </c>
      <c r="I803" s="35">
        <f t="shared" si="367"/>
        <v>0</v>
      </c>
      <c r="J803" s="35">
        <f t="shared" si="367"/>
        <v>0</v>
      </c>
      <c r="K803" s="35">
        <f t="shared" si="367"/>
        <v>0</v>
      </c>
      <c r="L803" s="35">
        <f t="shared" ref="L803:L866" si="368">K803/H803*100</f>
        <v>0</v>
      </c>
      <c r="M803" s="35">
        <v>0</v>
      </c>
    </row>
    <row r="804" spans="1:13">
      <c r="A804" s="59" t="s">
        <v>301</v>
      </c>
      <c r="B804" s="28" t="s">
        <v>347</v>
      </c>
      <c r="C804" s="28" t="s">
        <v>130</v>
      </c>
      <c r="D804" s="28" t="s">
        <v>17</v>
      </c>
      <c r="E804" s="28" t="s">
        <v>302</v>
      </c>
      <c r="F804" s="58" t="s">
        <v>0</v>
      </c>
      <c r="G804" s="35">
        <f>G810+G813</f>
        <v>1145.4000000000001</v>
      </c>
      <c r="H804" s="35">
        <f>H810+H813+H805+H816</f>
        <v>3445.4</v>
      </c>
      <c r="I804" s="35">
        <f t="shared" ref="I804:K804" si="369">I810+I813+I805+I816</f>
        <v>0</v>
      </c>
      <c r="J804" s="35">
        <f t="shared" si="369"/>
        <v>0</v>
      </c>
      <c r="K804" s="35">
        <f t="shared" si="369"/>
        <v>0</v>
      </c>
      <c r="L804" s="35">
        <f t="shared" si="368"/>
        <v>0</v>
      </c>
      <c r="M804" s="35">
        <v>0</v>
      </c>
    </row>
    <row r="805" spans="1:13" s="91" customFormat="1" ht="44.25" customHeight="1">
      <c r="A805" s="59" t="s">
        <v>1257</v>
      </c>
      <c r="B805" s="28" t="s">
        <v>347</v>
      </c>
      <c r="C805" s="28" t="s">
        <v>130</v>
      </c>
      <c r="D805" s="28" t="s">
        <v>17</v>
      </c>
      <c r="E805" s="29" t="s">
        <v>1256</v>
      </c>
      <c r="F805" s="58"/>
      <c r="G805" s="35"/>
      <c r="H805" s="35">
        <f>H806+H808</f>
        <v>2300</v>
      </c>
      <c r="I805" s="35">
        <f t="shared" ref="I805:K805" si="370">I806+I808</f>
        <v>0</v>
      </c>
      <c r="J805" s="35">
        <f t="shared" si="370"/>
        <v>0</v>
      </c>
      <c r="K805" s="35">
        <f t="shared" si="370"/>
        <v>0</v>
      </c>
      <c r="L805" s="35">
        <f t="shared" si="368"/>
        <v>0</v>
      </c>
      <c r="M805" s="35">
        <v>0</v>
      </c>
    </row>
    <row r="806" spans="1:13" s="91" customFormat="1">
      <c r="A806" s="59" t="s">
        <v>26</v>
      </c>
      <c r="B806" s="28" t="s">
        <v>347</v>
      </c>
      <c r="C806" s="28" t="s">
        <v>130</v>
      </c>
      <c r="D806" s="28" t="s">
        <v>17</v>
      </c>
      <c r="E806" s="29" t="s">
        <v>1256</v>
      </c>
      <c r="F806" s="28">
        <v>500</v>
      </c>
      <c r="G806" s="35"/>
      <c r="H806" s="35">
        <f>H807</f>
        <v>400</v>
      </c>
      <c r="I806" s="35">
        <f t="shared" ref="I806:K806" si="371">I807</f>
        <v>0</v>
      </c>
      <c r="J806" s="35">
        <f t="shared" si="371"/>
        <v>0</v>
      </c>
      <c r="K806" s="35">
        <f t="shared" si="371"/>
        <v>0</v>
      </c>
      <c r="L806" s="35">
        <f t="shared" si="368"/>
        <v>0</v>
      </c>
      <c r="M806" s="35">
        <v>0</v>
      </c>
    </row>
    <row r="807" spans="1:13" s="91" customFormat="1">
      <c r="A807" s="59" t="s">
        <v>56</v>
      </c>
      <c r="B807" s="28" t="s">
        <v>347</v>
      </c>
      <c r="C807" s="28" t="s">
        <v>130</v>
      </c>
      <c r="D807" s="28" t="s">
        <v>17</v>
      </c>
      <c r="E807" s="29" t="s">
        <v>1256</v>
      </c>
      <c r="F807" s="28">
        <v>520</v>
      </c>
      <c r="G807" s="35"/>
      <c r="H807" s="35">
        <v>400</v>
      </c>
      <c r="I807" s="35">
        <v>0</v>
      </c>
      <c r="J807" s="35">
        <v>0</v>
      </c>
      <c r="K807" s="35">
        <v>0</v>
      </c>
      <c r="L807" s="35">
        <f t="shared" si="368"/>
        <v>0</v>
      </c>
      <c r="M807" s="35">
        <v>0</v>
      </c>
    </row>
    <row r="808" spans="1:13" s="91" customFormat="1" ht="25.5">
      <c r="A808" s="59" t="s">
        <v>80</v>
      </c>
      <c r="B808" s="28" t="s">
        <v>347</v>
      </c>
      <c r="C808" s="28" t="s">
        <v>130</v>
      </c>
      <c r="D808" s="28" t="s">
        <v>17</v>
      </c>
      <c r="E808" s="29" t="s">
        <v>1256</v>
      </c>
      <c r="F808" s="28">
        <v>600</v>
      </c>
      <c r="G808" s="35"/>
      <c r="H808" s="35">
        <f>H809</f>
        <v>1900</v>
      </c>
      <c r="I808" s="35">
        <f t="shared" ref="I808:K808" si="372">I809</f>
        <v>0</v>
      </c>
      <c r="J808" s="35">
        <f t="shared" si="372"/>
        <v>0</v>
      </c>
      <c r="K808" s="35">
        <f t="shared" si="372"/>
        <v>0</v>
      </c>
      <c r="L808" s="35">
        <f t="shared" si="368"/>
        <v>0</v>
      </c>
      <c r="M808" s="35">
        <v>0</v>
      </c>
    </row>
    <row r="809" spans="1:13" s="91" customFormat="1">
      <c r="A809" s="59" t="s">
        <v>271</v>
      </c>
      <c r="B809" s="28" t="s">
        <v>347</v>
      </c>
      <c r="C809" s="28" t="s">
        <v>130</v>
      </c>
      <c r="D809" s="28" t="s">
        <v>17</v>
      </c>
      <c r="E809" s="29" t="s">
        <v>1256</v>
      </c>
      <c r="F809" s="28">
        <v>610</v>
      </c>
      <c r="G809" s="35"/>
      <c r="H809" s="35">
        <v>1900</v>
      </c>
      <c r="I809" s="35">
        <v>0</v>
      </c>
      <c r="J809" s="35">
        <v>0</v>
      </c>
      <c r="K809" s="35">
        <v>0</v>
      </c>
      <c r="L809" s="35">
        <f t="shared" si="368"/>
        <v>0</v>
      </c>
      <c r="M809" s="35">
        <v>0</v>
      </c>
    </row>
    <row r="810" spans="1:13" ht="25.5">
      <c r="A810" s="59" t="s">
        <v>76</v>
      </c>
      <c r="B810" s="28" t="s">
        <v>347</v>
      </c>
      <c r="C810" s="28" t="s">
        <v>130</v>
      </c>
      <c r="D810" s="28" t="s">
        <v>17</v>
      </c>
      <c r="E810" s="28" t="s">
        <v>356</v>
      </c>
      <c r="F810" s="58" t="s">
        <v>0</v>
      </c>
      <c r="G810" s="35">
        <f>G811</f>
        <v>300</v>
      </c>
      <c r="H810" s="35">
        <f t="shared" ref="H810:K811" si="373">H811</f>
        <v>0</v>
      </c>
      <c r="I810" s="35">
        <f t="shared" si="373"/>
        <v>0</v>
      </c>
      <c r="J810" s="35">
        <f t="shared" si="373"/>
        <v>0</v>
      </c>
      <c r="K810" s="35">
        <f t="shared" si="373"/>
        <v>0</v>
      </c>
      <c r="L810" s="35">
        <v>0</v>
      </c>
      <c r="M810" s="35">
        <v>0</v>
      </c>
    </row>
    <row r="811" spans="1:13" ht="25.5">
      <c r="A811" s="59" t="s">
        <v>80</v>
      </c>
      <c r="B811" s="28" t="s">
        <v>347</v>
      </c>
      <c r="C811" s="28" t="s">
        <v>130</v>
      </c>
      <c r="D811" s="28" t="s">
        <v>17</v>
      </c>
      <c r="E811" s="28" t="s">
        <v>356</v>
      </c>
      <c r="F811" s="28" t="s">
        <v>81</v>
      </c>
      <c r="G811" s="35">
        <f>G812</f>
        <v>300</v>
      </c>
      <c r="H811" s="35">
        <f t="shared" si="373"/>
        <v>0</v>
      </c>
      <c r="I811" s="35">
        <f t="shared" si="373"/>
        <v>0</v>
      </c>
      <c r="J811" s="35">
        <f t="shared" si="373"/>
        <v>0</v>
      </c>
      <c r="K811" s="35">
        <f t="shared" si="373"/>
        <v>0</v>
      </c>
      <c r="L811" s="35">
        <v>0</v>
      </c>
      <c r="M811" s="35">
        <v>0</v>
      </c>
    </row>
    <row r="812" spans="1:13">
      <c r="A812" s="59" t="s">
        <v>271</v>
      </c>
      <c r="B812" s="28" t="s">
        <v>347</v>
      </c>
      <c r="C812" s="28" t="s">
        <v>130</v>
      </c>
      <c r="D812" s="28" t="s">
        <v>17</v>
      </c>
      <c r="E812" s="28" t="s">
        <v>356</v>
      </c>
      <c r="F812" s="28" t="s">
        <v>272</v>
      </c>
      <c r="G812" s="35">
        <v>300</v>
      </c>
      <c r="H812" s="35"/>
      <c r="I812" s="35"/>
      <c r="J812" s="35"/>
      <c r="K812" s="35"/>
      <c r="L812" s="35">
        <v>0</v>
      </c>
      <c r="M812" s="35">
        <v>0</v>
      </c>
    </row>
    <row r="813" spans="1:13" ht="38.25">
      <c r="A813" s="59" t="s">
        <v>357</v>
      </c>
      <c r="B813" s="28" t="s">
        <v>347</v>
      </c>
      <c r="C813" s="28" t="s">
        <v>130</v>
      </c>
      <c r="D813" s="28" t="s">
        <v>17</v>
      </c>
      <c r="E813" s="28" t="s">
        <v>358</v>
      </c>
      <c r="F813" s="58" t="s">
        <v>0</v>
      </c>
      <c r="G813" s="35">
        <f>G814</f>
        <v>845.4</v>
      </c>
      <c r="H813" s="35">
        <f t="shared" ref="H813:K814" si="374">H814</f>
        <v>0</v>
      </c>
      <c r="I813" s="35">
        <f t="shared" si="374"/>
        <v>0</v>
      </c>
      <c r="J813" s="35">
        <f t="shared" si="374"/>
        <v>0</v>
      </c>
      <c r="K813" s="35">
        <f t="shared" si="374"/>
        <v>0</v>
      </c>
      <c r="L813" s="35">
        <v>0</v>
      </c>
      <c r="M813" s="35">
        <v>0</v>
      </c>
    </row>
    <row r="814" spans="1:13">
      <c r="A814" s="59" t="s">
        <v>26</v>
      </c>
      <c r="B814" s="28" t="s">
        <v>347</v>
      </c>
      <c r="C814" s="28" t="s">
        <v>130</v>
      </c>
      <c r="D814" s="28" t="s">
        <v>17</v>
      </c>
      <c r="E814" s="28" t="s">
        <v>358</v>
      </c>
      <c r="F814" s="28" t="s">
        <v>27</v>
      </c>
      <c r="G814" s="35">
        <f>G815</f>
        <v>845.4</v>
      </c>
      <c r="H814" s="35">
        <f t="shared" si="374"/>
        <v>0</v>
      </c>
      <c r="I814" s="35">
        <f t="shared" si="374"/>
        <v>0</v>
      </c>
      <c r="J814" s="35">
        <f t="shared" si="374"/>
        <v>0</v>
      </c>
      <c r="K814" s="35">
        <f t="shared" si="374"/>
        <v>0</v>
      </c>
      <c r="L814" s="35">
        <v>0</v>
      </c>
      <c r="M814" s="35">
        <v>0</v>
      </c>
    </row>
    <row r="815" spans="1:13">
      <c r="A815" s="59" t="s">
        <v>56</v>
      </c>
      <c r="B815" s="28" t="s">
        <v>347</v>
      </c>
      <c r="C815" s="28" t="s">
        <v>130</v>
      </c>
      <c r="D815" s="28" t="s">
        <v>17</v>
      </c>
      <c r="E815" s="28" t="s">
        <v>358</v>
      </c>
      <c r="F815" s="28" t="s">
        <v>57</v>
      </c>
      <c r="G815" s="35">
        <v>845.4</v>
      </c>
      <c r="H815" s="35">
        <v>0</v>
      </c>
      <c r="I815" s="35">
        <v>0</v>
      </c>
      <c r="J815" s="35">
        <v>0</v>
      </c>
      <c r="K815" s="35">
        <v>0</v>
      </c>
      <c r="L815" s="35">
        <v>0</v>
      </c>
      <c r="M815" s="35">
        <v>0</v>
      </c>
    </row>
    <row r="816" spans="1:13" s="91" customFormat="1" ht="38.25">
      <c r="A816" s="25" t="s">
        <v>1116</v>
      </c>
      <c r="B816" s="28" t="s">
        <v>347</v>
      </c>
      <c r="C816" s="28" t="s">
        <v>130</v>
      </c>
      <c r="D816" s="28" t="s">
        <v>17</v>
      </c>
      <c r="E816" s="29" t="s">
        <v>1115</v>
      </c>
      <c r="F816" s="28"/>
      <c r="G816" s="35"/>
      <c r="H816" s="35">
        <f>H817+H819</f>
        <v>1145.4000000000001</v>
      </c>
      <c r="I816" s="35">
        <f t="shared" ref="I816:K816" si="375">I817+I819</f>
        <v>0</v>
      </c>
      <c r="J816" s="35">
        <f t="shared" si="375"/>
        <v>0</v>
      </c>
      <c r="K816" s="35">
        <f t="shared" si="375"/>
        <v>0</v>
      </c>
      <c r="L816" s="35">
        <f t="shared" si="368"/>
        <v>0</v>
      </c>
      <c r="M816" s="35">
        <v>0</v>
      </c>
    </row>
    <row r="817" spans="1:13" s="91" customFormat="1">
      <c r="A817" s="59" t="s">
        <v>26</v>
      </c>
      <c r="B817" s="28" t="s">
        <v>347</v>
      </c>
      <c r="C817" s="28" t="s">
        <v>130</v>
      </c>
      <c r="D817" s="28" t="s">
        <v>17</v>
      </c>
      <c r="E817" s="29" t="s">
        <v>1115</v>
      </c>
      <c r="F817" s="28">
        <v>500</v>
      </c>
      <c r="G817" s="35"/>
      <c r="H817" s="35">
        <f>H818</f>
        <v>845.4</v>
      </c>
      <c r="I817" s="35">
        <f t="shared" ref="I817:K817" si="376">I818</f>
        <v>0</v>
      </c>
      <c r="J817" s="35">
        <f t="shared" si="376"/>
        <v>0</v>
      </c>
      <c r="K817" s="35">
        <f t="shared" si="376"/>
        <v>0</v>
      </c>
      <c r="L817" s="35">
        <f t="shared" si="368"/>
        <v>0</v>
      </c>
      <c r="M817" s="35">
        <v>0</v>
      </c>
    </row>
    <row r="818" spans="1:13" s="91" customFormat="1">
      <c r="A818" s="59" t="s">
        <v>56</v>
      </c>
      <c r="B818" s="28" t="s">
        <v>347</v>
      </c>
      <c r="C818" s="28" t="s">
        <v>130</v>
      </c>
      <c r="D818" s="28" t="s">
        <v>17</v>
      </c>
      <c r="E818" s="29" t="s">
        <v>1115</v>
      </c>
      <c r="F818" s="28">
        <v>520</v>
      </c>
      <c r="G818" s="35"/>
      <c r="H818" s="35">
        <v>845.4</v>
      </c>
      <c r="I818" s="35">
        <v>0</v>
      </c>
      <c r="J818" s="35">
        <v>0</v>
      </c>
      <c r="K818" s="35">
        <v>0</v>
      </c>
      <c r="L818" s="35">
        <f t="shared" si="368"/>
        <v>0</v>
      </c>
      <c r="M818" s="35">
        <v>0</v>
      </c>
    </row>
    <row r="819" spans="1:13" s="91" customFormat="1" ht="25.5">
      <c r="A819" s="59" t="s">
        <v>80</v>
      </c>
      <c r="B819" s="28" t="s">
        <v>347</v>
      </c>
      <c r="C819" s="28" t="s">
        <v>130</v>
      </c>
      <c r="D819" s="28" t="s">
        <v>17</v>
      </c>
      <c r="E819" s="29" t="s">
        <v>1115</v>
      </c>
      <c r="F819" s="28">
        <v>600</v>
      </c>
      <c r="G819" s="35"/>
      <c r="H819" s="35">
        <f>H820</f>
        <v>300</v>
      </c>
      <c r="I819" s="35">
        <f t="shared" ref="I819:K819" si="377">I820</f>
        <v>0</v>
      </c>
      <c r="J819" s="35">
        <f t="shared" si="377"/>
        <v>0</v>
      </c>
      <c r="K819" s="35">
        <f t="shared" si="377"/>
        <v>0</v>
      </c>
      <c r="L819" s="35">
        <f t="shared" si="368"/>
        <v>0</v>
      </c>
      <c r="M819" s="35">
        <v>0</v>
      </c>
    </row>
    <row r="820" spans="1:13" s="91" customFormat="1">
      <c r="A820" s="59" t="s">
        <v>271</v>
      </c>
      <c r="B820" s="28" t="s">
        <v>347</v>
      </c>
      <c r="C820" s="28" t="s">
        <v>130</v>
      </c>
      <c r="D820" s="28" t="s">
        <v>17</v>
      </c>
      <c r="E820" s="29" t="s">
        <v>1115</v>
      </c>
      <c r="F820" s="28">
        <v>610</v>
      </c>
      <c r="G820" s="35"/>
      <c r="H820" s="35">
        <v>300</v>
      </c>
      <c r="I820" s="35">
        <v>0</v>
      </c>
      <c r="J820" s="35">
        <v>0</v>
      </c>
      <c r="K820" s="35">
        <v>0</v>
      </c>
      <c r="L820" s="35">
        <f t="shared" si="368"/>
        <v>0</v>
      </c>
      <c r="M820" s="35">
        <v>0</v>
      </c>
    </row>
    <row r="821" spans="1:13" ht="25.5">
      <c r="A821" s="59" t="s">
        <v>47</v>
      </c>
      <c r="B821" s="28" t="s">
        <v>347</v>
      </c>
      <c r="C821" s="28" t="s">
        <v>130</v>
      </c>
      <c r="D821" s="28" t="s">
        <v>17</v>
      </c>
      <c r="E821" s="28" t="s">
        <v>48</v>
      </c>
      <c r="F821" s="58" t="s">
        <v>0</v>
      </c>
      <c r="G821" s="35">
        <f>G822+G825+G828+G831+G837+G841+G844+G852</f>
        <v>578524.4</v>
      </c>
      <c r="H821" s="35">
        <f>H822+H825+H828+H831+H837+H841+H844+H852+H834</f>
        <v>575761.52500000014</v>
      </c>
      <c r="I821" s="35">
        <f t="shared" ref="I821:K821" si="378">I822+I825+I828+I831+I837+I841+I844+I852+I834</f>
        <v>428878.52419999999</v>
      </c>
      <c r="J821" s="35">
        <f t="shared" si="378"/>
        <v>428878.52419999999</v>
      </c>
      <c r="K821" s="35">
        <f t="shared" si="378"/>
        <v>428853.42420000001</v>
      </c>
      <c r="L821" s="35">
        <f t="shared" si="368"/>
        <v>74.484557508423293</v>
      </c>
      <c r="M821" s="35">
        <f t="shared" ref="M821:M866" si="379">K821/I821*100</f>
        <v>99.994147526960745</v>
      </c>
    </row>
    <row r="822" spans="1:13" ht="38.25">
      <c r="A822" s="59" t="s">
        <v>359</v>
      </c>
      <c r="B822" s="28" t="s">
        <v>347</v>
      </c>
      <c r="C822" s="28" t="s">
        <v>130</v>
      </c>
      <c r="D822" s="28" t="s">
        <v>17</v>
      </c>
      <c r="E822" s="28" t="s">
        <v>360</v>
      </c>
      <c r="F822" s="58" t="s">
        <v>0</v>
      </c>
      <c r="G822" s="35">
        <f>G823</f>
        <v>342</v>
      </c>
      <c r="H822" s="35">
        <f t="shared" ref="H822:K823" si="380">H823</f>
        <v>342</v>
      </c>
      <c r="I822" s="35">
        <f t="shared" si="380"/>
        <v>135</v>
      </c>
      <c r="J822" s="35">
        <f t="shared" si="380"/>
        <v>135</v>
      </c>
      <c r="K822" s="35">
        <f t="shared" si="380"/>
        <v>109.9</v>
      </c>
      <c r="L822" s="35">
        <f t="shared" si="368"/>
        <v>32.134502923976612</v>
      </c>
      <c r="M822" s="35">
        <f t="shared" si="379"/>
        <v>81.407407407407405</v>
      </c>
    </row>
    <row r="823" spans="1:13">
      <c r="A823" s="59" t="s">
        <v>26</v>
      </c>
      <c r="B823" s="28" t="s">
        <v>347</v>
      </c>
      <c r="C823" s="28" t="s">
        <v>130</v>
      </c>
      <c r="D823" s="28" t="s">
        <v>17</v>
      </c>
      <c r="E823" s="28" t="s">
        <v>360</v>
      </c>
      <c r="F823" s="28" t="s">
        <v>27</v>
      </c>
      <c r="G823" s="35">
        <f>G824</f>
        <v>342</v>
      </c>
      <c r="H823" s="35">
        <f t="shared" si="380"/>
        <v>342</v>
      </c>
      <c r="I823" s="35">
        <f t="shared" si="380"/>
        <v>135</v>
      </c>
      <c r="J823" s="35">
        <f t="shared" si="380"/>
        <v>135</v>
      </c>
      <c r="K823" s="35">
        <f t="shared" si="380"/>
        <v>109.9</v>
      </c>
      <c r="L823" s="35">
        <f t="shared" si="368"/>
        <v>32.134502923976612</v>
      </c>
      <c r="M823" s="35">
        <f t="shared" si="379"/>
        <v>81.407407407407405</v>
      </c>
    </row>
    <row r="824" spans="1:13">
      <c r="A824" s="59" t="s">
        <v>352</v>
      </c>
      <c r="B824" s="28" t="s">
        <v>347</v>
      </c>
      <c r="C824" s="28" t="s">
        <v>130</v>
      </c>
      <c r="D824" s="28" t="s">
        <v>17</v>
      </c>
      <c r="E824" s="28" t="s">
        <v>360</v>
      </c>
      <c r="F824" s="28" t="s">
        <v>353</v>
      </c>
      <c r="G824" s="35">
        <v>342</v>
      </c>
      <c r="H824" s="35">
        <v>342</v>
      </c>
      <c r="I824" s="35">
        <v>135</v>
      </c>
      <c r="J824" s="35">
        <v>135</v>
      </c>
      <c r="K824" s="35">
        <v>109.9</v>
      </c>
      <c r="L824" s="35">
        <f t="shared" si="368"/>
        <v>32.134502923976612</v>
      </c>
      <c r="M824" s="35">
        <f t="shared" si="379"/>
        <v>81.407407407407405</v>
      </c>
    </row>
    <row r="825" spans="1:13" ht="51">
      <c r="A825" s="59" t="s">
        <v>361</v>
      </c>
      <c r="B825" s="28" t="s">
        <v>347</v>
      </c>
      <c r="C825" s="28" t="s">
        <v>130</v>
      </c>
      <c r="D825" s="28" t="s">
        <v>17</v>
      </c>
      <c r="E825" s="28" t="s">
        <v>362</v>
      </c>
      <c r="F825" s="58" t="s">
        <v>0</v>
      </c>
      <c r="G825" s="35">
        <f>G826</f>
        <v>574</v>
      </c>
      <c r="H825" s="35">
        <f t="shared" ref="H825:K826" si="381">H826</f>
        <v>574</v>
      </c>
      <c r="I825" s="35">
        <f t="shared" si="381"/>
        <v>574</v>
      </c>
      <c r="J825" s="35">
        <f t="shared" si="381"/>
        <v>574</v>
      </c>
      <c r="K825" s="35">
        <f t="shared" si="381"/>
        <v>574</v>
      </c>
      <c r="L825" s="35">
        <f t="shared" si="368"/>
        <v>100</v>
      </c>
      <c r="M825" s="35">
        <f t="shared" si="379"/>
        <v>100</v>
      </c>
    </row>
    <row r="826" spans="1:13">
      <c r="A826" s="59" t="s">
        <v>26</v>
      </c>
      <c r="B826" s="28" t="s">
        <v>347</v>
      </c>
      <c r="C826" s="28" t="s">
        <v>130</v>
      </c>
      <c r="D826" s="28" t="s">
        <v>17</v>
      </c>
      <c r="E826" s="28" t="s">
        <v>362</v>
      </c>
      <c r="F826" s="28" t="s">
        <v>27</v>
      </c>
      <c r="G826" s="35">
        <f>G827</f>
        <v>574</v>
      </c>
      <c r="H826" s="35">
        <f t="shared" si="381"/>
        <v>574</v>
      </c>
      <c r="I826" s="35">
        <f t="shared" si="381"/>
        <v>574</v>
      </c>
      <c r="J826" s="35">
        <f t="shared" si="381"/>
        <v>574</v>
      </c>
      <c r="K826" s="35">
        <f t="shared" si="381"/>
        <v>574</v>
      </c>
      <c r="L826" s="35">
        <f t="shared" si="368"/>
        <v>100</v>
      </c>
      <c r="M826" s="35">
        <f t="shared" si="379"/>
        <v>100</v>
      </c>
    </row>
    <row r="827" spans="1:13">
      <c r="A827" s="59" t="s">
        <v>352</v>
      </c>
      <c r="B827" s="28" t="s">
        <v>347</v>
      </c>
      <c r="C827" s="28" t="s">
        <v>130</v>
      </c>
      <c r="D827" s="28" t="s">
        <v>17</v>
      </c>
      <c r="E827" s="28" t="s">
        <v>362</v>
      </c>
      <c r="F827" s="28" t="s">
        <v>353</v>
      </c>
      <c r="G827" s="35">
        <v>574</v>
      </c>
      <c r="H827" s="35">
        <v>574</v>
      </c>
      <c r="I827" s="35">
        <v>574</v>
      </c>
      <c r="J827" s="35">
        <v>574</v>
      </c>
      <c r="K827" s="35">
        <v>574</v>
      </c>
      <c r="L827" s="35">
        <f t="shared" si="368"/>
        <v>100</v>
      </c>
      <c r="M827" s="35">
        <f t="shared" si="379"/>
        <v>100</v>
      </c>
    </row>
    <row r="828" spans="1:13" ht="25.5">
      <c r="A828" s="59" t="s">
        <v>363</v>
      </c>
      <c r="B828" s="28" t="s">
        <v>347</v>
      </c>
      <c r="C828" s="28" t="s">
        <v>130</v>
      </c>
      <c r="D828" s="28" t="s">
        <v>17</v>
      </c>
      <c r="E828" s="28" t="s">
        <v>364</v>
      </c>
      <c r="F828" s="58" t="s">
        <v>0</v>
      </c>
      <c r="G828" s="35">
        <f>G829</f>
        <v>600</v>
      </c>
      <c r="H828" s="35">
        <f t="shared" ref="H828:K829" si="382">H829</f>
        <v>600</v>
      </c>
      <c r="I828" s="35">
        <f t="shared" si="382"/>
        <v>600</v>
      </c>
      <c r="J828" s="35">
        <f t="shared" si="382"/>
        <v>600</v>
      </c>
      <c r="K828" s="35">
        <f t="shared" si="382"/>
        <v>600</v>
      </c>
      <c r="L828" s="35">
        <f t="shared" si="368"/>
        <v>100</v>
      </c>
      <c r="M828" s="35">
        <f t="shared" si="379"/>
        <v>100</v>
      </c>
    </row>
    <row r="829" spans="1:13">
      <c r="A829" s="59" t="s">
        <v>26</v>
      </c>
      <c r="B829" s="28" t="s">
        <v>347</v>
      </c>
      <c r="C829" s="28" t="s">
        <v>130</v>
      </c>
      <c r="D829" s="28" t="s">
        <v>17</v>
      </c>
      <c r="E829" s="28" t="s">
        <v>364</v>
      </c>
      <c r="F829" s="28" t="s">
        <v>27</v>
      </c>
      <c r="G829" s="35">
        <f>G830</f>
        <v>600</v>
      </c>
      <c r="H829" s="35">
        <f t="shared" si="382"/>
        <v>600</v>
      </c>
      <c r="I829" s="35">
        <f t="shared" si="382"/>
        <v>600</v>
      </c>
      <c r="J829" s="35">
        <f t="shared" si="382"/>
        <v>600</v>
      </c>
      <c r="K829" s="35">
        <f t="shared" si="382"/>
        <v>600</v>
      </c>
      <c r="L829" s="35">
        <f t="shared" si="368"/>
        <v>100</v>
      </c>
      <c r="M829" s="35">
        <f t="shared" si="379"/>
        <v>100</v>
      </c>
    </row>
    <row r="830" spans="1:13">
      <c r="A830" s="59" t="s">
        <v>352</v>
      </c>
      <c r="B830" s="28" t="s">
        <v>347</v>
      </c>
      <c r="C830" s="28" t="s">
        <v>130</v>
      </c>
      <c r="D830" s="28" t="s">
        <v>17</v>
      </c>
      <c r="E830" s="28" t="s">
        <v>364</v>
      </c>
      <c r="F830" s="28" t="s">
        <v>353</v>
      </c>
      <c r="G830" s="35">
        <v>600</v>
      </c>
      <c r="H830" s="35">
        <v>600</v>
      </c>
      <c r="I830" s="35">
        <v>600</v>
      </c>
      <c r="J830" s="35">
        <v>600</v>
      </c>
      <c r="K830" s="35">
        <v>600</v>
      </c>
      <c r="L830" s="35">
        <f t="shared" si="368"/>
        <v>100</v>
      </c>
      <c r="M830" s="35">
        <f t="shared" si="379"/>
        <v>100</v>
      </c>
    </row>
    <row r="831" spans="1:13" ht="38.25">
      <c r="A831" s="59" t="s">
        <v>365</v>
      </c>
      <c r="B831" s="28" t="s">
        <v>347</v>
      </c>
      <c r="C831" s="28" t="s">
        <v>130</v>
      </c>
      <c r="D831" s="28" t="s">
        <v>17</v>
      </c>
      <c r="E831" s="28" t="s">
        <v>366</v>
      </c>
      <c r="F831" s="58" t="s">
        <v>0</v>
      </c>
      <c r="G831" s="35">
        <f>G832</f>
        <v>450</v>
      </c>
      <c r="H831" s="35">
        <f t="shared" ref="H831:K832" si="383">H832</f>
        <v>450</v>
      </c>
      <c r="I831" s="35">
        <f t="shared" si="383"/>
        <v>450</v>
      </c>
      <c r="J831" s="35">
        <f t="shared" si="383"/>
        <v>450</v>
      </c>
      <c r="K831" s="35">
        <f t="shared" si="383"/>
        <v>450</v>
      </c>
      <c r="L831" s="35">
        <f t="shared" si="368"/>
        <v>100</v>
      </c>
      <c r="M831" s="35">
        <f t="shared" si="379"/>
        <v>100</v>
      </c>
    </row>
    <row r="832" spans="1:13">
      <c r="A832" s="59" t="s">
        <v>26</v>
      </c>
      <c r="B832" s="28" t="s">
        <v>347</v>
      </c>
      <c r="C832" s="28" t="s">
        <v>130</v>
      </c>
      <c r="D832" s="28" t="s">
        <v>17</v>
      </c>
      <c r="E832" s="28" t="s">
        <v>366</v>
      </c>
      <c r="F832" s="28" t="s">
        <v>27</v>
      </c>
      <c r="G832" s="35">
        <f>G833</f>
        <v>450</v>
      </c>
      <c r="H832" s="35">
        <f t="shared" si="383"/>
        <v>450</v>
      </c>
      <c r="I832" s="35">
        <f t="shared" si="383"/>
        <v>450</v>
      </c>
      <c r="J832" s="35">
        <f t="shared" si="383"/>
        <v>450</v>
      </c>
      <c r="K832" s="35">
        <f t="shared" si="383"/>
        <v>450</v>
      </c>
      <c r="L832" s="35">
        <f t="shared" si="368"/>
        <v>100</v>
      </c>
      <c r="M832" s="35">
        <f t="shared" si="379"/>
        <v>100</v>
      </c>
    </row>
    <row r="833" spans="1:13">
      <c r="A833" s="59" t="s">
        <v>352</v>
      </c>
      <c r="B833" s="28" t="s">
        <v>347</v>
      </c>
      <c r="C833" s="28" t="s">
        <v>130</v>
      </c>
      <c r="D833" s="28" t="s">
        <v>17</v>
      </c>
      <c r="E833" s="28" t="s">
        <v>366</v>
      </c>
      <c r="F833" s="28" t="s">
        <v>353</v>
      </c>
      <c r="G833" s="35">
        <v>450</v>
      </c>
      <c r="H833" s="35">
        <v>450</v>
      </c>
      <c r="I833" s="35">
        <v>450</v>
      </c>
      <c r="J833" s="35">
        <v>450</v>
      </c>
      <c r="K833" s="35">
        <v>450</v>
      </c>
      <c r="L833" s="35">
        <f t="shared" si="368"/>
        <v>100</v>
      </c>
      <c r="M833" s="35">
        <f t="shared" si="379"/>
        <v>100</v>
      </c>
    </row>
    <row r="834" spans="1:13" s="91" customFormat="1" ht="61.5" customHeight="1">
      <c r="A834" s="59" t="s">
        <v>1262</v>
      </c>
      <c r="B834" s="28" t="s">
        <v>347</v>
      </c>
      <c r="C834" s="28" t="s">
        <v>130</v>
      </c>
      <c r="D834" s="28" t="s">
        <v>17</v>
      </c>
      <c r="E834" s="29" t="s">
        <v>1261</v>
      </c>
      <c r="F834" s="28"/>
      <c r="G834" s="35"/>
      <c r="H834" s="35">
        <f>H835</f>
        <v>528.42499999999995</v>
      </c>
      <c r="I834" s="35">
        <f t="shared" ref="I834:K835" si="384">I835</f>
        <v>528.42499999999995</v>
      </c>
      <c r="J834" s="35">
        <f t="shared" si="384"/>
        <v>528.42499999999995</v>
      </c>
      <c r="K834" s="35">
        <f t="shared" si="384"/>
        <v>528.42499999999995</v>
      </c>
      <c r="L834" s="35">
        <f t="shared" si="368"/>
        <v>100</v>
      </c>
      <c r="M834" s="35">
        <f t="shared" si="379"/>
        <v>100</v>
      </c>
    </row>
    <row r="835" spans="1:13" s="91" customFormat="1" ht="25.5">
      <c r="A835" s="59" t="s">
        <v>80</v>
      </c>
      <c r="B835" s="28" t="s">
        <v>347</v>
      </c>
      <c r="C835" s="28" t="s">
        <v>130</v>
      </c>
      <c r="D835" s="28" t="s">
        <v>17</v>
      </c>
      <c r="E835" s="29" t="s">
        <v>1261</v>
      </c>
      <c r="F835" s="28">
        <v>600</v>
      </c>
      <c r="G835" s="35"/>
      <c r="H835" s="35">
        <f>H836</f>
        <v>528.42499999999995</v>
      </c>
      <c r="I835" s="35">
        <f t="shared" si="384"/>
        <v>528.42499999999995</v>
      </c>
      <c r="J835" s="35">
        <f t="shared" si="384"/>
        <v>528.42499999999995</v>
      </c>
      <c r="K835" s="35">
        <f t="shared" si="384"/>
        <v>528.42499999999995</v>
      </c>
      <c r="L835" s="35">
        <f t="shared" si="368"/>
        <v>100</v>
      </c>
      <c r="M835" s="35">
        <f t="shared" si="379"/>
        <v>100</v>
      </c>
    </row>
    <row r="836" spans="1:13" s="91" customFormat="1">
      <c r="A836" s="59" t="s">
        <v>271</v>
      </c>
      <c r="B836" s="28" t="s">
        <v>347</v>
      </c>
      <c r="C836" s="28" t="s">
        <v>130</v>
      </c>
      <c r="D836" s="28" t="s">
        <v>17</v>
      </c>
      <c r="E836" s="29" t="s">
        <v>1261</v>
      </c>
      <c r="F836" s="28">
        <v>610</v>
      </c>
      <c r="G836" s="35"/>
      <c r="H836" s="35">
        <v>528.42499999999995</v>
      </c>
      <c r="I836" s="35">
        <v>528.42499999999995</v>
      </c>
      <c r="J836" s="35">
        <v>528.42499999999995</v>
      </c>
      <c r="K836" s="35">
        <v>528.42499999999995</v>
      </c>
      <c r="L836" s="35">
        <f t="shared" si="368"/>
        <v>100</v>
      </c>
      <c r="M836" s="35">
        <f t="shared" si="379"/>
        <v>100</v>
      </c>
    </row>
    <row r="837" spans="1:13" ht="25.5">
      <c r="A837" s="59" t="s">
        <v>76</v>
      </c>
      <c r="B837" s="28" t="s">
        <v>347</v>
      </c>
      <c r="C837" s="28" t="s">
        <v>130</v>
      </c>
      <c r="D837" s="28" t="s">
        <v>17</v>
      </c>
      <c r="E837" s="28" t="s">
        <v>121</v>
      </c>
      <c r="F837" s="58" t="s">
        <v>0</v>
      </c>
      <c r="G837" s="35">
        <f>G838</f>
        <v>559150.9</v>
      </c>
      <c r="H837" s="35">
        <f t="shared" ref="H837:K837" si="385">H838</f>
        <v>558750.90000000014</v>
      </c>
      <c r="I837" s="35">
        <f t="shared" si="385"/>
        <v>416750.37</v>
      </c>
      <c r="J837" s="35">
        <f t="shared" si="385"/>
        <v>416750.37</v>
      </c>
      <c r="K837" s="35">
        <f t="shared" si="385"/>
        <v>416750.37</v>
      </c>
      <c r="L837" s="35">
        <f t="shared" si="368"/>
        <v>74.586075834508705</v>
      </c>
      <c r="M837" s="35">
        <f t="shared" si="379"/>
        <v>100</v>
      </c>
    </row>
    <row r="838" spans="1:13" ht="25.5">
      <c r="A838" s="59" t="s">
        <v>80</v>
      </c>
      <c r="B838" s="28" t="s">
        <v>347</v>
      </c>
      <c r="C838" s="28" t="s">
        <v>130</v>
      </c>
      <c r="D838" s="28" t="s">
        <v>17</v>
      </c>
      <c r="E838" s="28" t="s">
        <v>121</v>
      </c>
      <c r="F838" s="28" t="s">
        <v>81</v>
      </c>
      <c r="G838" s="35">
        <f>G839+G840</f>
        <v>559150.9</v>
      </c>
      <c r="H838" s="35">
        <f t="shared" ref="H838:K838" si="386">H839+H840</f>
        <v>558750.90000000014</v>
      </c>
      <c r="I838" s="35">
        <f t="shared" si="386"/>
        <v>416750.37</v>
      </c>
      <c r="J838" s="35">
        <f t="shared" si="386"/>
        <v>416750.37</v>
      </c>
      <c r="K838" s="35">
        <f t="shared" si="386"/>
        <v>416750.37</v>
      </c>
      <c r="L838" s="35">
        <f t="shared" si="368"/>
        <v>74.586075834508705</v>
      </c>
      <c r="M838" s="35">
        <f t="shared" si="379"/>
        <v>100</v>
      </c>
    </row>
    <row r="839" spans="1:13">
      <c r="A839" s="59" t="s">
        <v>271</v>
      </c>
      <c r="B839" s="28" t="s">
        <v>347</v>
      </c>
      <c r="C839" s="28" t="s">
        <v>130</v>
      </c>
      <c r="D839" s="28" t="s">
        <v>17</v>
      </c>
      <c r="E839" s="28" t="s">
        <v>121</v>
      </c>
      <c r="F839" s="28" t="s">
        <v>272</v>
      </c>
      <c r="G839" s="35">
        <v>534851.1</v>
      </c>
      <c r="H839" s="35">
        <f>528457.3+5993.8</f>
        <v>534451.10000000009</v>
      </c>
      <c r="I839" s="35">
        <f>392990.27+5789.5</f>
        <v>398779.77</v>
      </c>
      <c r="J839" s="35">
        <f>392990.27+5789.5</f>
        <v>398779.77</v>
      </c>
      <c r="K839" s="35">
        <f>392990.27+5789.5</f>
        <v>398779.77</v>
      </c>
      <c r="L839" s="35">
        <f t="shared" si="368"/>
        <v>74.614828185403667</v>
      </c>
      <c r="M839" s="35">
        <f t="shared" si="379"/>
        <v>100</v>
      </c>
    </row>
    <row r="840" spans="1:13">
      <c r="A840" s="59" t="s">
        <v>82</v>
      </c>
      <c r="B840" s="28" t="s">
        <v>347</v>
      </c>
      <c r="C840" s="28" t="s">
        <v>130</v>
      </c>
      <c r="D840" s="28" t="s">
        <v>17</v>
      </c>
      <c r="E840" s="28" t="s">
        <v>121</v>
      </c>
      <c r="F840" s="28" t="s">
        <v>83</v>
      </c>
      <c r="G840" s="35">
        <v>24299.8</v>
      </c>
      <c r="H840" s="35">
        <f>23787.2+512.6</f>
        <v>24299.8</v>
      </c>
      <c r="I840" s="35">
        <f>17458+512.6</f>
        <v>17970.599999999999</v>
      </c>
      <c r="J840" s="35">
        <f>17458+512.6</f>
        <v>17970.599999999999</v>
      </c>
      <c r="K840" s="35">
        <f>17458+512.6</f>
        <v>17970.599999999999</v>
      </c>
      <c r="L840" s="35">
        <f t="shared" si="368"/>
        <v>73.953695092140663</v>
      </c>
      <c r="M840" s="35">
        <f t="shared" si="379"/>
        <v>100</v>
      </c>
    </row>
    <row r="841" spans="1:13" ht="76.5">
      <c r="A841" s="59" t="s">
        <v>367</v>
      </c>
      <c r="B841" s="28" t="s">
        <v>347</v>
      </c>
      <c r="C841" s="28" t="s">
        <v>130</v>
      </c>
      <c r="D841" s="28" t="s">
        <v>17</v>
      </c>
      <c r="E841" s="28" t="s">
        <v>368</v>
      </c>
      <c r="F841" s="58" t="s">
        <v>0</v>
      </c>
      <c r="G841" s="35">
        <f>G842</f>
        <v>2891.3</v>
      </c>
      <c r="H841" s="35">
        <f t="shared" ref="H841:K842" si="387">H842</f>
        <v>0</v>
      </c>
      <c r="I841" s="35">
        <f t="shared" si="387"/>
        <v>0</v>
      </c>
      <c r="J841" s="35">
        <f t="shared" si="387"/>
        <v>0</v>
      </c>
      <c r="K841" s="35">
        <f t="shared" si="387"/>
        <v>0</v>
      </c>
      <c r="L841" s="35">
        <v>0</v>
      </c>
      <c r="M841" s="35">
        <v>0</v>
      </c>
    </row>
    <row r="842" spans="1:13">
      <c r="A842" s="59" t="s">
        <v>72</v>
      </c>
      <c r="B842" s="28" t="s">
        <v>347</v>
      </c>
      <c r="C842" s="28" t="s">
        <v>130</v>
      </c>
      <c r="D842" s="28" t="s">
        <v>17</v>
      </c>
      <c r="E842" s="28" t="s">
        <v>368</v>
      </c>
      <c r="F842" s="28" t="s">
        <v>73</v>
      </c>
      <c r="G842" s="35">
        <f>G843</f>
        <v>2891.3</v>
      </c>
      <c r="H842" s="35">
        <f t="shared" si="387"/>
        <v>0</v>
      </c>
      <c r="I842" s="35">
        <f t="shared" si="387"/>
        <v>0</v>
      </c>
      <c r="J842" s="35">
        <f t="shared" si="387"/>
        <v>0</v>
      </c>
      <c r="K842" s="35">
        <f t="shared" si="387"/>
        <v>0</v>
      </c>
      <c r="L842" s="35">
        <v>0</v>
      </c>
      <c r="M842" s="35">
        <v>0</v>
      </c>
    </row>
    <row r="843" spans="1:13">
      <c r="A843" s="59" t="s">
        <v>369</v>
      </c>
      <c r="B843" s="28" t="s">
        <v>347</v>
      </c>
      <c r="C843" s="28" t="s">
        <v>130</v>
      </c>
      <c r="D843" s="28" t="s">
        <v>17</v>
      </c>
      <c r="E843" s="28" t="s">
        <v>368</v>
      </c>
      <c r="F843" s="28" t="s">
        <v>370</v>
      </c>
      <c r="G843" s="35">
        <v>2891.3</v>
      </c>
      <c r="H843" s="35">
        <v>0</v>
      </c>
      <c r="I843" s="35">
        <v>0</v>
      </c>
      <c r="J843" s="35">
        <v>0</v>
      </c>
      <c r="K843" s="35">
        <v>0</v>
      </c>
      <c r="L843" s="35">
        <v>0</v>
      </c>
      <c r="M843" s="35">
        <v>0</v>
      </c>
    </row>
    <row r="844" spans="1:13">
      <c r="A844" s="59" t="s">
        <v>371</v>
      </c>
      <c r="B844" s="28" t="s">
        <v>347</v>
      </c>
      <c r="C844" s="28" t="s">
        <v>130</v>
      </c>
      <c r="D844" s="28" t="s">
        <v>17</v>
      </c>
      <c r="E844" s="28" t="s">
        <v>372</v>
      </c>
      <c r="F844" s="58" t="s">
        <v>0</v>
      </c>
      <c r="G844" s="35">
        <f>G845+G847+G850</f>
        <v>11016.2</v>
      </c>
      <c r="H844" s="35">
        <f t="shared" ref="H844:K844" si="388">H845+H847+H850</f>
        <v>11016.2</v>
      </c>
      <c r="I844" s="35">
        <f t="shared" si="388"/>
        <v>6340.7291999999998</v>
      </c>
      <c r="J844" s="35">
        <f t="shared" si="388"/>
        <v>6340.7291999999998</v>
      </c>
      <c r="K844" s="35">
        <f t="shared" si="388"/>
        <v>6340.7291999999998</v>
      </c>
      <c r="L844" s="35">
        <f t="shared" si="368"/>
        <v>57.55822515931083</v>
      </c>
      <c r="M844" s="35">
        <f t="shared" si="379"/>
        <v>100</v>
      </c>
    </row>
    <row r="845" spans="1:13" ht="25.5">
      <c r="A845" s="59" t="s">
        <v>64</v>
      </c>
      <c r="B845" s="28" t="s">
        <v>347</v>
      </c>
      <c r="C845" s="28" t="s">
        <v>130</v>
      </c>
      <c r="D845" s="28" t="s">
        <v>17</v>
      </c>
      <c r="E845" s="28" t="s">
        <v>372</v>
      </c>
      <c r="F845" s="28" t="s">
        <v>65</v>
      </c>
      <c r="G845" s="35">
        <f>G846</f>
        <v>4558.2</v>
      </c>
      <c r="H845" s="35">
        <f t="shared" ref="H845:K845" si="389">H846</f>
        <v>4558.2</v>
      </c>
      <c r="I845" s="35">
        <f t="shared" si="389"/>
        <v>191.85599999999999</v>
      </c>
      <c r="J845" s="35">
        <f t="shared" si="389"/>
        <v>191.85599999999999</v>
      </c>
      <c r="K845" s="35">
        <f t="shared" si="389"/>
        <v>191.85599999999999</v>
      </c>
      <c r="L845" s="35">
        <f t="shared" si="368"/>
        <v>4.2090298802158745</v>
      </c>
      <c r="M845" s="35">
        <f t="shared" si="379"/>
        <v>100</v>
      </c>
    </row>
    <row r="846" spans="1:13" ht="25.5">
      <c r="A846" s="59" t="s">
        <v>66</v>
      </c>
      <c r="B846" s="28" t="s">
        <v>347</v>
      </c>
      <c r="C846" s="28" t="s">
        <v>130</v>
      </c>
      <c r="D846" s="28" t="s">
        <v>17</v>
      </c>
      <c r="E846" s="28" t="s">
        <v>372</v>
      </c>
      <c r="F846" s="28" t="s">
        <v>67</v>
      </c>
      <c r="G846" s="35">
        <v>4558.2</v>
      </c>
      <c r="H846" s="35">
        <v>4558.2</v>
      </c>
      <c r="I846" s="35">
        <v>191.85599999999999</v>
      </c>
      <c r="J846" s="35">
        <v>191.85599999999999</v>
      </c>
      <c r="K846" s="35">
        <v>191.85599999999999</v>
      </c>
      <c r="L846" s="35">
        <f t="shared" si="368"/>
        <v>4.2090298802158745</v>
      </c>
      <c r="M846" s="35">
        <f t="shared" si="379"/>
        <v>100</v>
      </c>
    </row>
    <row r="847" spans="1:13">
      <c r="A847" s="59" t="s">
        <v>68</v>
      </c>
      <c r="B847" s="28" t="s">
        <v>347</v>
      </c>
      <c r="C847" s="28" t="s">
        <v>130</v>
      </c>
      <c r="D847" s="28" t="s">
        <v>17</v>
      </c>
      <c r="E847" s="28" t="s">
        <v>372</v>
      </c>
      <c r="F847" s="28" t="s">
        <v>69</v>
      </c>
      <c r="G847" s="35">
        <f>G848+G849</f>
        <v>725.5</v>
      </c>
      <c r="H847" s="35">
        <f t="shared" ref="H847:K847" si="390">H848+H849</f>
        <v>725.5</v>
      </c>
      <c r="I847" s="35">
        <f t="shared" si="390"/>
        <v>416.3732</v>
      </c>
      <c r="J847" s="35">
        <f t="shared" si="390"/>
        <v>416.3732</v>
      </c>
      <c r="K847" s="35">
        <f t="shared" si="390"/>
        <v>416.3732</v>
      </c>
      <c r="L847" s="35">
        <f t="shared" si="368"/>
        <v>57.391206064782907</v>
      </c>
      <c r="M847" s="35">
        <f t="shared" si="379"/>
        <v>100</v>
      </c>
    </row>
    <row r="848" spans="1:13">
      <c r="A848" s="59" t="s">
        <v>373</v>
      </c>
      <c r="B848" s="28" t="s">
        <v>347</v>
      </c>
      <c r="C848" s="28" t="s">
        <v>130</v>
      </c>
      <c r="D848" s="28" t="s">
        <v>17</v>
      </c>
      <c r="E848" s="28" t="s">
        <v>372</v>
      </c>
      <c r="F848" s="28" t="s">
        <v>374</v>
      </c>
      <c r="G848" s="35">
        <v>225</v>
      </c>
      <c r="H848" s="35">
        <v>225</v>
      </c>
      <c r="I848" s="35">
        <v>125</v>
      </c>
      <c r="J848" s="35">
        <v>125</v>
      </c>
      <c r="K848" s="35">
        <v>125</v>
      </c>
      <c r="L848" s="35">
        <f t="shared" si="368"/>
        <v>55.555555555555557</v>
      </c>
      <c r="M848" s="35">
        <f t="shared" si="379"/>
        <v>100</v>
      </c>
    </row>
    <row r="849" spans="1:13">
      <c r="A849" s="59" t="s">
        <v>70</v>
      </c>
      <c r="B849" s="28" t="s">
        <v>347</v>
      </c>
      <c r="C849" s="28" t="s">
        <v>130</v>
      </c>
      <c r="D849" s="28" t="s">
        <v>17</v>
      </c>
      <c r="E849" s="28" t="s">
        <v>372</v>
      </c>
      <c r="F849" s="28" t="s">
        <v>71</v>
      </c>
      <c r="G849" s="35">
        <v>500.5</v>
      </c>
      <c r="H849" s="35">
        <v>500.5</v>
      </c>
      <c r="I849" s="35">
        <v>291.3732</v>
      </c>
      <c r="J849" s="35">
        <v>291.3732</v>
      </c>
      <c r="K849" s="35">
        <v>291.3732</v>
      </c>
      <c r="L849" s="35">
        <f t="shared" si="368"/>
        <v>58.216423576423573</v>
      </c>
      <c r="M849" s="35">
        <f t="shared" si="379"/>
        <v>100</v>
      </c>
    </row>
    <row r="850" spans="1:13" ht="25.5">
      <c r="A850" s="59" t="s">
        <v>80</v>
      </c>
      <c r="B850" s="28" t="s">
        <v>347</v>
      </c>
      <c r="C850" s="28" t="s">
        <v>130</v>
      </c>
      <c r="D850" s="28" t="s">
        <v>17</v>
      </c>
      <c r="E850" s="28" t="s">
        <v>372</v>
      </c>
      <c r="F850" s="28" t="s">
        <v>81</v>
      </c>
      <c r="G850" s="35">
        <f>G851</f>
        <v>5732.5</v>
      </c>
      <c r="H850" s="35">
        <f t="shared" ref="H850:K850" si="391">H851</f>
        <v>5732.5</v>
      </c>
      <c r="I850" s="35">
        <f t="shared" si="391"/>
        <v>5732.5</v>
      </c>
      <c r="J850" s="35">
        <f t="shared" si="391"/>
        <v>5732.5</v>
      </c>
      <c r="K850" s="35">
        <f t="shared" si="391"/>
        <v>5732.5</v>
      </c>
      <c r="L850" s="35">
        <f t="shared" si="368"/>
        <v>100</v>
      </c>
      <c r="M850" s="35">
        <f t="shared" si="379"/>
        <v>100</v>
      </c>
    </row>
    <row r="851" spans="1:13" ht="38.25">
      <c r="A851" s="59" t="s">
        <v>195</v>
      </c>
      <c r="B851" s="28" t="s">
        <v>347</v>
      </c>
      <c r="C851" s="28" t="s">
        <v>130</v>
      </c>
      <c r="D851" s="28" t="s">
        <v>17</v>
      </c>
      <c r="E851" s="28" t="s">
        <v>372</v>
      </c>
      <c r="F851" s="28" t="s">
        <v>196</v>
      </c>
      <c r="G851" s="35">
        <v>5732.5</v>
      </c>
      <c r="H851" s="35">
        <v>5732.5</v>
      </c>
      <c r="I851" s="35">
        <v>5732.5</v>
      </c>
      <c r="J851" s="35">
        <v>5732.5</v>
      </c>
      <c r="K851" s="35">
        <v>5732.5</v>
      </c>
      <c r="L851" s="35">
        <f t="shared" si="368"/>
        <v>100</v>
      </c>
      <c r="M851" s="35">
        <f t="shared" si="379"/>
        <v>100</v>
      </c>
    </row>
    <row r="852" spans="1:13" ht="25.5">
      <c r="A852" s="59" t="s">
        <v>375</v>
      </c>
      <c r="B852" s="28" t="s">
        <v>347</v>
      </c>
      <c r="C852" s="28" t="s">
        <v>130</v>
      </c>
      <c r="D852" s="28" t="s">
        <v>17</v>
      </c>
      <c r="E852" s="28" t="s">
        <v>376</v>
      </c>
      <c r="F852" s="58" t="s">
        <v>0</v>
      </c>
      <c r="G852" s="35">
        <f>G853</f>
        <v>3500</v>
      </c>
      <c r="H852" s="35">
        <f t="shared" ref="H852:K853" si="392">H853</f>
        <v>3500</v>
      </c>
      <c r="I852" s="35">
        <f t="shared" si="392"/>
        <v>3500</v>
      </c>
      <c r="J852" s="35">
        <f t="shared" si="392"/>
        <v>3500</v>
      </c>
      <c r="K852" s="35">
        <f t="shared" si="392"/>
        <v>3500</v>
      </c>
      <c r="L852" s="35">
        <f t="shared" si="368"/>
        <v>100</v>
      </c>
      <c r="M852" s="35">
        <f t="shared" si="379"/>
        <v>100</v>
      </c>
    </row>
    <row r="853" spans="1:13">
      <c r="A853" s="59" t="s">
        <v>26</v>
      </c>
      <c r="B853" s="28" t="s">
        <v>347</v>
      </c>
      <c r="C853" s="28" t="s">
        <v>130</v>
      </c>
      <c r="D853" s="28" t="s">
        <v>17</v>
      </c>
      <c r="E853" s="28" t="s">
        <v>376</v>
      </c>
      <c r="F853" s="28" t="s">
        <v>27</v>
      </c>
      <c r="G853" s="35">
        <f>G854</f>
        <v>3500</v>
      </c>
      <c r="H853" s="35">
        <f t="shared" si="392"/>
        <v>3500</v>
      </c>
      <c r="I853" s="35">
        <f t="shared" si="392"/>
        <v>3500</v>
      </c>
      <c r="J853" s="35">
        <f t="shared" si="392"/>
        <v>3500</v>
      </c>
      <c r="K853" s="35">
        <f t="shared" si="392"/>
        <v>3500</v>
      </c>
      <c r="L853" s="35">
        <f t="shared" si="368"/>
        <v>100</v>
      </c>
      <c r="M853" s="35">
        <f t="shared" si="379"/>
        <v>100</v>
      </c>
    </row>
    <row r="854" spans="1:13">
      <c r="A854" s="59" t="s">
        <v>56</v>
      </c>
      <c r="B854" s="28" t="s">
        <v>347</v>
      </c>
      <c r="C854" s="28" t="s">
        <v>130</v>
      </c>
      <c r="D854" s="28" t="s">
        <v>17</v>
      </c>
      <c r="E854" s="28" t="s">
        <v>376</v>
      </c>
      <c r="F854" s="28" t="s">
        <v>57</v>
      </c>
      <c r="G854" s="35">
        <v>3500</v>
      </c>
      <c r="H854" s="35">
        <v>3500</v>
      </c>
      <c r="I854" s="35">
        <v>3500</v>
      </c>
      <c r="J854" s="35">
        <v>3500</v>
      </c>
      <c r="K854" s="35">
        <v>3500</v>
      </c>
      <c r="L854" s="35">
        <f t="shared" si="368"/>
        <v>100</v>
      </c>
      <c r="M854" s="35">
        <f t="shared" si="379"/>
        <v>100</v>
      </c>
    </row>
    <row r="855" spans="1:13" ht="51">
      <c r="A855" s="59" t="s">
        <v>377</v>
      </c>
      <c r="B855" s="28" t="s">
        <v>347</v>
      </c>
      <c r="C855" s="28" t="s">
        <v>130</v>
      </c>
      <c r="D855" s="28" t="s">
        <v>17</v>
      </c>
      <c r="E855" s="28" t="s">
        <v>378</v>
      </c>
      <c r="F855" s="58" t="s">
        <v>0</v>
      </c>
      <c r="G855" s="35">
        <f>G856</f>
        <v>250</v>
      </c>
      <c r="H855" s="35">
        <f t="shared" ref="H855:K857" si="393">H856</f>
        <v>200</v>
      </c>
      <c r="I855" s="35">
        <f t="shared" si="393"/>
        <v>0</v>
      </c>
      <c r="J855" s="35">
        <f t="shared" si="393"/>
        <v>0</v>
      </c>
      <c r="K855" s="35">
        <f t="shared" si="393"/>
        <v>0</v>
      </c>
      <c r="L855" s="35">
        <f t="shared" si="368"/>
        <v>0</v>
      </c>
      <c r="M855" s="35">
        <v>0</v>
      </c>
    </row>
    <row r="856" spans="1:13" ht="25.5">
      <c r="A856" s="59" t="s">
        <v>76</v>
      </c>
      <c r="B856" s="28" t="s">
        <v>347</v>
      </c>
      <c r="C856" s="28" t="s">
        <v>130</v>
      </c>
      <c r="D856" s="28" t="s">
        <v>17</v>
      </c>
      <c r="E856" s="28" t="s">
        <v>379</v>
      </c>
      <c r="F856" s="58" t="s">
        <v>0</v>
      </c>
      <c r="G856" s="35">
        <f>G857</f>
        <v>250</v>
      </c>
      <c r="H856" s="35">
        <f t="shared" si="393"/>
        <v>200</v>
      </c>
      <c r="I856" s="35">
        <f t="shared" si="393"/>
        <v>0</v>
      </c>
      <c r="J856" s="35">
        <f t="shared" si="393"/>
        <v>0</v>
      </c>
      <c r="K856" s="35">
        <f t="shared" si="393"/>
        <v>0</v>
      </c>
      <c r="L856" s="35">
        <f t="shared" si="368"/>
        <v>0</v>
      </c>
      <c r="M856" s="35">
        <v>0</v>
      </c>
    </row>
    <row r="857" spans="1:13" ht="25.5">
      <c r="A857" s="59" t="s">
        <v>80</v>
      </c>
      <c r="B857" s="28" t="s">
        <v>347</v>
      </c>
      <c r="C857" s="28" t="s">
        <v>130</v>
      </c>
      <c r="D857" s="28" t="s">
        <v>17</v>
      </c>
      <c r="E857" s="28" t="s">
        <v>379</v>
      </c>
      <c r="F857" s="28" t="s">
        <v>81</v>
      </c>
      <c r="G857" s="35">
        <f>G858</f>
        <v>250</v>
      </c>
      <c r="H857" s="35">
        <f t="shared" si="393"/>
        <v>200</v>
      </c>
      <c r="I857" s="35">
        <f t="shared" si="393"/>
        <v>0</v>
      </c>
      <c r="J857" s="35">
        <f t="shared" si="393"/>
        <v>0</v>
      </c>
      <c r="K857" s="35">
        <f t="shared" si="393"/>
        <v>0</v>
      </c>
      <c r="L857" s="35">
        <f t="shared" si="368"/>
        <v>0</v>
      </c>
      <c r="M857" s="35">
        <v>0</v>
      </c>
    </row>
    <row r="858" spans="1:13">
      <c r="A858" s="59" t="s">
        <v>271</v>
      </c>
      <c r="B858" s="28" t="s">
        <v>347</v>
      </c>
      <c r="C858" s="28" t="s">
        <v>130</v>
      </c>
      <c r="D858" s="28" t="s">
        <v>17</v>
      </c>
      <c r="E858" s="28" t="s">
        <v>379</v>
      </c>
      <c r="F858" s="28" t="s">
        <v>272</v>
      </c>
      <c r="G858" s="35">
        <v>250</v>
      </c>
      <c r="H858" s="35">
        <v>200</v>
      </c>
      <c r="I858" s="35">
        <v>0</v>
      </c>
      <c r="J858" s="35">
        <v>0</v>
      </c>
      <c r="K858" s="35">
        <v>0</v>
      </c>
      <c r="L858" s="35">
        <f t="shared" si="368"/>
        <v>0</v>
      </c>
      <c r="M858" s="35">
        <v>0</v>
      </c>
    </row>
    <row r="859" spans="1:13">
      <c r="A859" s="62" t="s">
        <v>612</v>
      </c>
      <c r="B859" s="28" t="s">
        <v>347</v>
      </c>
      <c r="C859" s="28" t="s">
        <v>130</v>
      </c>
      <c r="D859" s="28" t="s">
        <v>17</v>
      </c>
      <c r="E859" s="29" t="s">
        <v>613</v>
      </c>
      <c r="F859" s="28"/>
      <c r="G859" s="35"/>
      <c r="H859" s="35">
        <f>H860</f>
        <v>37410.695869999996</v>
      </c>
      <c r="I859" s="35">
        <f t="shared" ref="I859:K859" si="394">I860</f>
        <v>37410.695869999996</v>
      </c>
      <c r="J859" s="35">
        <f t="shared" si="394"/>
        <v>37410.695869999996</v>
      </c>
      <c r="K859" s="35">
        <f t="shared" si="394"/>
        <v>37410.695869999996</v>
      </c>
      <c r="L859" s="35">
        <f t="shared" si="368"/>
        <v>100</v>
      </c>
      <c r="M859" s="35">
        <f t="shared" si="379"/>
        <v>100</v>
      </c>
    </row>
    <row r="860" spans="1:13">
      <c r="A860" s="59" t="s">
        <v>612</v>
      </c>
      <c r="B860" s="28" t="s">
        <v>347</v>
      </c>
      <c r="C860" s="28" t="s">
        <v>130</v>
      </c>
      <c r="D860" s="28" t="s">
        <v>17</v>
      </c>
      <c r="E860" s="29" t="s">
        <v>614</v>
      </c>
      <c r="F860" s="28"/>
      <c r="G860" s="35"/>
      <c r="H860" s="35">
        <f>H861+H863</f>
        <v>37410.695869999996</v>
      </c>
      <c r="I860" s="35">
        <f t="shared" ref="I860:K860" si="395">I861+I863</f>
        <v>37410.695869999996</v>
      </c>
      <c r="J860" s="35">
        <f t="shared" si="395"/>
        <v>37410.695869999996</v>
      </c>
      <c r="K860" s="35">
        <f t="shared" si="395"/>
        <v>37410.695869999996</v>
      </c>
      <c r="L860" s="35">
        <f t="shared" si="368"/>
        <v>100</v>
      </c>
      <c r="M860" s="35">
        <f t="shared" si="379"/>
        <v>100</v>
      </c>
    </row>
    <row r="861" spans="1:13">
      <c r="A861" s="59" t="s">
        <v>26</v>
      </c>
      <c r="B861" s="28" t="s">
        <v>347</v>
      </c>
      <c r="C861" s="28" t="s">
        <v>130</v>
      </c>
      <c r="D861" s="28" t="s">
        <v>17</v>
      </c>
      <c r="E861" s="29" t="s">
        <v>614</v>
      </c>
      <c r="F861" s="28">
        <v>500</v>
      </c>
      <c r="G861" s="35"/>
      <c r="H861" s="35">
        <f>H862</f>
        <v>10245.86087</v>
      </c>
      <c r="I861" s="35">
        <f t="shared" ref="I861:K861" si="396">I862</f>
        <v>10245.86087</v>
      </c>
      <c r="J861" s="35">
        <f t="shared" si="396"/>
        <v>10245.86087</v>
      </c>
      <c r="K861" s="35">
        <f t="shared" si="396"/>
        <v>10245.86087</v>
      </c>
      <c r="L861" s="35">
        <f t="shared" si="368"/>
        <v>100</v>
      </c>
      <c r="M861" s="35">
        <f t="shared" si="379"/>
        <v>100</v>
      </c>
    </row>
    <row r="862" spans="1:13">
      <c r="A862" s="62" t="s">
        <v>352</v>
      </c>
      <c r="B862" s="28" t="s">
        <v>347</v>
      </c>
      <c r="C862" s="28" t="s">
        <v>130</v>
      </c>
      <c r="D862" s="28" t="s">
        <v>17</v>
      </c>
      <c r="E862" s="29" t="s">
        <v>614</v>
      </c>
      <c r="F862" s="28">
        <v>540</v>
      </c>
      <c r="G862" s="35"/>
      <c r="H862" s="35">
        <v>10245.86087</v>
      </c>
      <c r="I862" s="35">
        <v>10245.86087</v>
      </c>
      <c r="J862" s="35">
        <v>10245.86087</v>
      </c>
      <c r="K862" s="35">
        <v>10245.86087</v>
      </c>
      <c r="L862" s="35">
        <f t="shared" si="368"/>
        <v>100</v>
      </c>
      <c r="M862" s="35">
        <f t="shared" si="379"/>
        <v>100</v>
      </c>
    </row>
    <row r="863" spans="1:13" ht="25.5">
      <c r="A863" s="59" t="s">
        <v>80</v>
      </c>
      <c r="B863" s="28" t="s">
        <v>347</v>
      </c>
      <c r="C863" s="28" t="s">
        <v>130</v>
      </c>
      <c r="D863" s="28" t="s">
        <v>17</v>
      </c>
      <c r="E863" s="29" t="s">
        <v>614</v>
      </c>
      <c r="F863" s="28">
        <v>600</v>
      </c>
      <c r="G863" s="35"/>
      <c r="H863" s="35">
        <f>H864</f>
        <v>27164.834999999999</v>
      </c>
      <c r="I863" s="35">
        <f t="shared" ref="I863:K863" si="397">I864</f>
        <v>27164.834999999999</v>
      </c>
      <c r="J863" s="35">
        <f t="shared" si="397"/>
        <v>27164.834999999999</v>
      </c>
      <c r="K863" s="35">
        <f t="shared" si="397"/>
        <v>27164.834999999999</v>
      </c>
      <c r="L863" s="35">
        <f t="shared" si="368"/>
        <v>100</v>
      </c>
      <c r="M863" s="35">
        <f t="shared" si="379"/>
        <v>100</v>
      </c>
    </row>
    <row r="864" spans="1:13">
      <c r="A864" s="59" t="s">
        <v>271</v>
      </c>
      <c r="B864" s="28" t="s">
        <v>347</v>
      </c>
      <c r="C864" s="28" t="s">
        <v>130</v>
      </c>
      <c r="D864" s="28" t="s">
        <v>17</v>
      </c>
      <c r="E864" s="29" t="s">
        <v>614</v>
      </c>
      <c r="F864" s="28">
        <v>610</v>
      </c>
      <c r="G864" s="35"/>
      <c r="H864" s="35">
        <v>27164.834999999999</v>
      </c>
      <c r="I864" s="35">
        <v>27164.834999999999</v>
      </c>
      <c r="J864" s="35">
        <v>27164.834999999999</v>
      </c>
      <c r="K864" s="35">
        <v>27164.834999999999</v>
      </c>
      <c r="L864" s="35">
        <f t="shared" si="368"/>
        <v>100</v>
      </c>
      <c r="M864" s="35">
        <f t="shared" si="379"/>
        <v>100</v>
      </c>
    </row>
    <row r="865" spans="1:13">
      <c r="A865" s="59" t="s">
        <v>380</v>
      </c>
      <c r="B865" s="28" t="s">
        <v>347</v>
      </c>
      <c r="C865" s="28" t="s">
        <v>130</v>
      </c>
      <c r="D865" s="28" t="s">
        <v>19</v>
      </c>
      <c r="E865" s="58" t="s">
        <v>0</v>
      </c>
      <c r="F865" s="58" t="s">
        <v>0</v>
      </c>
      <c r="G865" s="35">
        <f>G866</f>
        <v>38110.800000000003</v>
      </c>
      <c r="H865" s="35">
        <f t="shared" ref="H865:K865" si="398">H866</f>
        <v>46357.4</v>
      </c>
      <c r="I865" s="35">
        <f t="shared" si="398"/>
        <v>32111.431320000003</v>
      </c>
      <c r="J865" s="35">
        <f t="shared" si="398"/>
        <v>32107.431320000003</v>
      </c>
      <c r="K865" s="35">
        <f t="shared" si="398"/>
        <v>31152.064040000001</v>
      </c>
      <c r="L865" s="35">
        <f t="shared" si="368"/>
        <v>67.199765388050238</v>
      </c>
      <c r="M865" s="35">
        <f t="shared" si="379"/>
        <v>97.012380823390828</v>
      </c>
    </row>
    <row r="866" spans="1:13" ht="25.5">
      <c r="A866" s="59" t="s">
        <v>47</v>
      </c>
      <c r="B866" s="28" t="s">
        <v>347</v>
      </c>
      <c r="C866" s="28" t="s">
        <v>130</v>
      </c>
      <c r="D866" s="28" t="s">
        <v>19</v>
      </c>
      <c r="E866" s="28" t="s">
        <v>48</v>
      </c>
      <c r="F866" s="58" t="s">
        <v>0</v>
      </c>
      <c r="G866" s="35">
        <f>G867+G874</f>
        <v>38110.800000000003</v>
      </c>
      <c r="H866" s="35">
        <f t="shared" ref="H866:K866" si="399">H867+H874</f>
        <v>46357.4</v>
      </c>
      <c r="I866" s="35">
        <f t="shared" si="399"/>
        <v>32111.431320000003</v>
      </c>
      <c r="J866" s="35">
        <f t="shared" si="399"/>
        <v>32107.431320000003</v>
      </c>
      <c r="K866" s="35">
        <f t="shared" si="399"/>
        <v>31152.064040000001</v>
      </c>
      <c r="L866" s="35">
        <f t="shared" si="368"/>
        <v>67.199765388050238</v>
      </c>
      <c r="M866" s="35">
        <f t="shared" si="379"/>
        <v>97.012380823390828</v>
      </c>
    </row>
    <row r="867" spans="1:13" ht="102">
      <c r="A867" s="59" t="s">
        <v>381</v>
      </c>
      <c r="B867" s="28" t="s">
        <v>347</v>
      </c>
      <c r="C867" s="28" t="s">
        <v>130</v>
      </c>
      <c r="D867" s="28" t="s">
        <v>19</v>
      </c>
      <c r="E867" s="28" t="s">
        <v>382</v>
      </c>
      <c r="F867" s="58" t="s">
        <v>0</v>
      </c>
      <c r="G867" s="35">
        <f>G868+G870+G872</f>
        <v>10240.5</v>
      </c>
      <c r="H867" s="35">
        <f t="shared" ref="H867:K867" si="400">H868+H870+H872</f>
        <v>10240.5</v>
      </c>
      <c r="I867" s="35">
        <f t="shared" si="400"/>
        <v>6578.3313200000002</v>
      </c>
      <c r="J867" s="35">
        <f t="shared" si="400"/>
        <v>6578.3313200000002</v>
      </c>
      <c r="K867" s="35">
        <f t="shared" si="400"/>
        <v>6578.3313200000002</v>
      </c>
      <c r="L867" s="35">
        <f t="shared" ref="L867:L930" si="401">K867/H867*100</f>
        <v>64.238380157218884</v>
      </c>
      <c r="M867" s="35">
        <f t="shared" ref="M867:M930" si="402">K867/I867*100</f>
        <v>100</v>
      </c>
    </row>
    <row r="868" spans="1:13" ht="63.75">
      <c r="A868" s="59" t="s">
        <v>60</v>
      </c>
      <c r="B868" s="28" t="s">
        <v>347</v>
      </c>
      <c r="C868" s="28" t="s">
        <v>130</v>
      </c>
      <c r="D868" s="28" t="s">
        <v>19</v>
      </c>
      <c r="E868" s="28" t="s">
        <v>382</v>
      </c>
      <c r="F868" s="28" t="s">
        <v>61</v>
      </c>
      <c r="G868" s="35">
        <f>G869</f>
        <v>8958.4</v>
      </c>
      <c r="H868" s="35">
        <f t="shared" ref="H868:K868" si="403">H869</f>
        <v>8958.4</v>
      </c>
      <c r="I868" s="35">
        <f t="shared" si="403"/>
        <v>5857.0288200000005</v>
      </c>
      <c r="J868" s="35">
        <f t="shared" si="403"/>
        <v>5857.0288200000005</v>
      </c>
      <c r="K868" s="35">
        <f t="shared" si="403"/>
        <v>5857.0288200000005</v>
      </c>
      <c r="L868" s="35">
        <f t="shared" si="401"/>
        <v>65.380300276835158</v>
      </c>
      <c r="M868" s="35">
        <f t="shared" si="402"/>
        <v>100</v>
      </c>
    </row>
    <row r="869" spans="1:13" ht="25.5">
      <c r="A869" s="59" t="s">
        <v>62</v>
      </c>
      <c r="B869" s="28" t="s">
        <v>347</v>
      </c>
      <c r="C869" s="28" t="s">
        <v>130</v>
      </c>
      <c r="D869" s="28" t="s">
        <v>19</v>
      </c>
      <c r="E869" s="28" t="s">
        <v>382</v>
      </c>
      <c r="F869" s="28" t="s">
        <v>63</v>
      </c>
      <c r="G869" s="35">
        <v>8958.4</v>
      </c>
      <c r="H869" s="35">
        <f>6085.9+1057.2+1815.3</f>
        <v>8958.4</v>
      </c>
      <c r="I869" s="35">
        <f>4325.81631+248.1292+1283.08331</f>
        <v>5857.0288200000005</v>
      </c>
      <c r="J869" s="35">
        <f>4325.81631+248.1292+1283.08331</f>
        <v>5857.0288200000005</v>
      </c>
      <c r="K869" s="35">
        <f>4325.81631+248.1292+1283.08331</f>
        <v>5857.0288200000005</v>
      </c>
      <c r="L869" s="35">
        <f t="shared" si="401"/>
        <v>65.380300276835158</v>
      </c>
      <c r="M869" s="35">
        <f t="shared" si="402"/>
        <v>100</v>
      </c>
    </row>
    <row r="870" spans="1:13" ht="25.5">
      <c r="A870" s="59" t="s">
        <v>64</v>
      </c>
      <c r="B870" s="28" t="s">
        <v>347</v>
      </c>
      <c r="C870" s="28" t="s">
        <v>130</v>
      </c>
      <c r="D870" s="28" t="s">
        <v>19</v>
      </c>
      <c r="E870" s="28" t="s">
        <v>382</v>
      </c>
      <c r="F870" s="28" t="s">
        <v>65</v>
      </c>
      <c r="G870" s="35">
        <f>G871</f>
        <v>1280.9000000000001</v>
      </c>
      <c r="H870" s="35">
        <f t="shared" ref="H870:K870" si="404">H871</f>
        <v>1280.9000000000001</v>
      </c>
      <c r="I870" s="35">
        <f t="shared" si="404"/>
        <v>720.69050000000004</v>
      </c>
      <c r="J870" s="35">
        <f t="shared" si="404"/>
        <v>720.69050000000004</v>
      </c>
      <c r="K870" s="35">
        <f t="shared" si="404"/>
        <v>720.69050000000004</v>
      </c>
      <c r="L870" s="35">
        <f t="shared" si="401"/>
        <v>56.264384417206649</v>
      </c>
      <c r="M870" s="35">
        <f t="shared" si="402"/>
        <v>100</v>
      </c>
    </row>
    <row r="871" spans="1:13" ht="25.5">
      <c r="A871" s="59" t="s">
        <v>66</v>
      </c>
      <c r="B871" s="28" t="s">
        <v>347</v>
      </c>
      <c r="C871" s="28" t="s">
        <v>130</v>
      </c>
      <c r="D871" s="28" t="s">
        <v>19</v>
      </c>
      <c r="E871" s="28" t="s">
        <v>382</v>
      </c>
      <c r="F871" s="28" t="s">
        <v>67</v>
      </c>
      <c r="G871" s="35">
        <v>1280.9000000000001</v>
      </c>
      <c r="H871" s="35">
        <v>1280.9000000000001</v>
      </c>
      <c r="I871" s="35">
        <v>720.69050000000004</v>
      </c>
      <c r="J871" s="35">
        <v>720.69050000000004</v>
      </c>
      <c r="K871" s="35">
        <v>720.69050000000004</v>
      </c>
      <c r="L871" s="35">
        <f t="shared" si="401"/>
        <v>56.264384417206649</v>
      </c>
      <c r="M871" s="35">
        <f t="shared" si="402"/>
        <v>100</v>
      </c>
    </row>
    <row r="872" spans="1:13">
      <c r="A872" s="59" t="s">
        <v>72</v>
      </c>
      <c r="B872" s="28" t="s">
        <v>347</v>
      </c>
      <c r="C872" s="28" t="s">
        <v>130</v>
      </c>
      <c r="D872" s="28" t="s">
        <v>19</v>
      </c>
      <c r="E872" s="28" t="s">
        <v>382</v>
      </c>
      <c r="F872" s="28" t="s">
        <v>73</v>
      </c>
      <c r="G872" s="35">
        <f>G873</f>
        <v>1.2</v>
      </c>
      <c r="H872" s="35">
        <f t="shared" ref="H872:K872" si="405">H873</f>
        <v>1.2</v>
      </c>
      <c r="I872" s="35">
        <f t="shared" si="405"/>
        <v>0.61199999999999999</v>
      </c>
      <c r="J872" s="35">
        <f t="shared" si="405"/>
        <v>0.61199999999999999</v>
      </c>
      <c r="K872" s="35">
        <f t="shared" si="405"/>
        <v>0.61199999999999999</v>
      </c>
      <c r="L872" s="35">
        <f t="shared" si="401"/>
        <v>51</v>
      </c>
      <c r="M872" s="35">
        <f t="shared" si="402"/>
        <v>100</v>
      </c>
    </row>
    <row r="873" spans="1:13">
      <c r="A873" s="59" t="s">
        <v>74</v>
      </c>
      <c r="B873" s="28" t="s">
        <v>347</v>
      </c>
      <c r="C873" s="28" t="s">
        <v>130</v>
      </c>
      <c r="D873" s="28" t="s">
        <v>19</v>
      </c>
      <c r="E873" s="28" t="s">
        <v>382</v>
      </c>
      <c r="F873" s="28" t="s">
        <v>75</v>
      </c>
      <c r="G873" s="35">
        <v>1.2</v>
      </c>
      <c r="H873" s="35">
        <v>1.2</v>
      </c>
      <c r="I873" s="35">
        <v>0.61199999999999999</v>
      </c>
      <c r="J873" s="35">
        <v>0.61199999999999999</v>
      </c>
      <c r="K873" s="35">
        <v>0.61199999999999999</v>
      </c>
      <c r="L873" s="35">
        <f t="shared" si="401"/>
        <v>51</v>
      </c>
      <c r="M873" s="35">
        <f t="shared" si="402"/>
        <v>100</v>
      </c>
    </row>
    <row r="874" spans="1:13" ht="25.5">
      <c r="A874" s="59" t="s">
        <v>58</v>
      </c>
      <c r="B874" s="28" t="s">
        <v>347</v>
      </c>
      <c r="C874" s="28" t="s">
        <v>130</v>
      </c>
      <c r="D874" s="28" t="s">
        <v>19</v>
      </c>
      <c r="E874" s="28" t="s">
        <v>383</v>
      </c>
      <c r="F874" s="58" t="s">
        <v>0</v>
      </c>
      <c r="G874" s="35">
        <f>G875+G877+G881</f>
        <v>27870.3</v>
      </c>
      <c r="H874" s="35">
        <f>H875+H877+H881+H879</f>
        <v>36116.9</v>
      </c>
      <c r="I874" s="35">
        <f>I875+I877+I881+I879</f>
        <v>25533.100000000002</v>
      </c>
      <c r="J874" s="35">
        <f t="shared" ref="J874:K874" si="406">J875+J877+J881+J879</f>
        <v>25529.100000000002</v>
      </c>
      <c r="K874" s="35">
        <f t="shared" si="406"/>
        <v>24573.73272</v>
      </c>
      <c r="L874" s="35">
        <f t="shared" si="401"/>
        <v>68.039429519144775</v>
      </c>
      <c r="M874" s="35">
        <f t="shared" si="402"/>
        <v>96.242652556877147</v>
      </c>
    </row>
    <row r="875" spans="1:13" ht="63.75">
      <c r="A875" s="59" t="s">
        <v>60</v>
      </c>
      <c r="B875" s="28" t="s">
        <v>347</v>
      </c>
      <c r="C875" s="28" t="s">
        <v>130</v>
      </c>
      <c r="D875" s="28" t="s">
        <v>19</v>
      </c>
      <c r="E875" s="28" t="s">
        <v>383</v>
      </c>
      <c r="F875" s="28" t="s">
        <v>61</v>
      </c>
      <c r="G875" s="35">
        <f>G876</f>
        <v>26854.400000000001</v>
      </c>
      <c r="H875" s="35">
        <f t="shared" ref="H875:K875" si="407">H876</f>
        <v>34573.854149999999</v>
      </c>
      <c r="I875" s="35">
        <f t="shared" si="407"/>
        <v>24471.854149999999</v>
      </c>
      <c r="J875" s="35">
        <f t="shared" si="407"/>
        <v>24471.854149999999</v>
      </c>
      <c r="K875" s="35">
        <f t="shared" si="407"/>
        <v>23558.204109999999</v>
      </c>
      <c r="L875" s="35">
        <f t="shared" si="401"/>
        <v>68.1387848973731</v>
      </c>
      <c r="M875" s="35">
        <f t="shared" si="402"/>
        <v>96.26652711151435</v>
      </c>
    </row>
    <row r="876" spans="1:13" ht="25.5">
      <c r="A876" s="59" t="s">
        <v>62</v>
      </c>
      <c r="B876" s="28" t="s">
        <v>347</v>
      </c>
      <c r="C876" s="28" t="s">
        <v>130</v>
      </c>
      <c r="D876" s="28" t="s">
        <v>19</v>
      </c>
      <c r="E876" s="28" t="s">
        <v>383</v>
      </c>
      <c r="F876" s="28" t="s">
        <v>63</v>
      </c>
      <c r="G876" s="35">
        <v>26854.400000000001</v>
      </c>
      <c r="H876" s="35">
        <f>25709.7+1589.05415+7275.1</f>
        <v>34573.854149999999</v>
      </c>
      <c r="I876" s="35">
        <f>17547.8+1289.15415+5634.9</f>
        <v>24471.854149999999</v>
      </c>
      <c r="J876" s="35">
        <f>17547.8+1289.15415+5634.9</f>
        <v>24471.854149999999</v>
      </c>
      <c r="K876" s="35">
        <f>17053.45905+1231.91548+5272.82958</f>
        <v>23558.204109999999</v>
      </c>
      <c r="L876" s="35">
        <f t="shared" si="401"/>
        <v>68.1387848973731</v>
      </c>
      <c r="M876" s="35">
        <f t="shared" si="402"/>
        <v>96.26652711151435</v>
      </c>
    </row>
    <row r="877" spans="1:13" ht="25.5">
      <c r="A877" s="59" t="s">
        <v>64</v>
      </c>
      <c r="B877" s="28" t="s">
        <v>347</v>
      </c>
      <c r="C877" s="28" t="s">
        <v>130</v>
      </c>
      <c r="D877" s="28" t="s">
        <v>19</v>
      </c>
      <c r="E877" s="28" t="s">
        <v>383</v>
      </c>
      <c r="F877" s="28" t="s">
        <v>65</v>
      </c>
      <c r="G877" s="35">
        <f>G878</f>
        <v>1015.1</v>
      </c>
      <c r="H877" s="35">
        <f t="shared" ref="H877:K877" si="408">H878</f>
        <v>1289.4000000000001</v>
      </c>
      <c r="I877" s="35">
        <f t="shared" si="408"/>
        <v>808.4</v>
      </c>
      <c r="J877" s="35">
        <f t="shared" si="408"/>
        <v>804.4</v>
      </c>
      <c r="K877" s="35">
        <f t="shared" si="408"/>
        <v>762.68276000000003</v>
      </c>
      <c r="L877" s="35">
        <f t="shared" si="401"/>
        <v>59.15020629750272</v>
      </c>
      <c r="M877" s="35">
        <f t="shared" si="402"/>
        <v>94.344725383473531</v>
      </c>
    </row>
    <row r="878" spans="1:13" ht="25.5">
      <c r="A878" s="59" t="s">
        <v>66</v>
      </c>
      <c r="B878" s="28" t="s">
        <v>347</v>
      </c>
      <c r="C878" s="28" t="s">
        <v>130</v>
      </c>
      <c r="D878" s="28" t="s">
        <v>19</v>
      </c>
      <c r="E878" s="28" t="s">
        <v>383</v>
      </c>
      <c r="F878" s="28" t="s">
        <v>67</v>
      </c>
      <c r="G878" s="35">
        <v>1015.1</v>
      </c>
      <c r="H878" s="35">
        <v>1289.4000000000001</v>
      </c>
      <c r="I878" s="35">
        <v>808.4</v>
      </c>
      <c r="J878" s="35">
        <v>804.4</v>
      </c>
      <c r="K878" s="35">
        <v>762.68276000000003</v>
      </c>
      <c r="L878" s="35">
        <f t="shared" si="401"/>
        <v>59.15020629750272</v>
      </c>
      <c r="M878" s="35">
        <f t="shared" si="402"/>
        <v>94.344725383473531</v>
      </c>
    </row>
    <row r="879" spans="1:13">
      <c r="A879" s="59" t="s">
        <v>68</v>
      </c>
      <c r="B879" s="28" t="s">
        <v>347</v>
      </c>
      <c r="C879" s="28" t="s">
        <v>130</v>
      </c>
      <c r="D879" s="28" t="s">
        <v>19</v>
      </c>
      <c r="E879" s="28" t="s">
        <v>383</v>
      </c>
      <c r="F879" s="28">
        <v>300</v>
      </c>
      <c r="G879" s="35"/>
      <c r="H879" s="35">
        <f>H880</f>
        <v>252.84585000000001</v>
      </c>
      <c r="I879" s="35">
        <f>I880</f>
        <v>252.84585000000001</v>
      </c>
      <c r="J879" s="35">
        <f>J880</f>
        <v>252.84585000000001</v>
      </c>
      <c r="K879" s="35">
        <f>K880</f>
        <v>252.84585000000001</v>
      </c>
      <c r="L879" s="35">
        <f t="shared" si="401"/>
        <v>100</v>
      </c>
      <c r="M879" s="35">
        <f t="shared" si="402"/>
        <v>100</v>
      </c>
    </row>
    <row r="880" spans="1:13" ht="25.5">
      <c r="A880" s="59" t="s">
        <v>151</v>
      </c>
      <c r="B880" s="28" t="s">
        <v>347</v>
      </c>
      <c r="C880" s="28" t="s">
        <v>130</v>
      </c>
      <c r="D880" s="28" t="s">
        <v>19</v>
      </c>
      <c r="E880" s="28" t="s">
        <v>383</v>
      </c>
      <c r="F880" s="28">
        <v>320</v>
      </c>
      <c r="G880" s="35"/>
      <c r="H880" s="35">
        <v>252.84585000000001</v>
      </c>
      <c r="I880" s="35">
        <v>252.84585000000001</v>
      </c>
      <c r="J880" s="35">
        <v>252.84585000000001</v>
      </c>
      <c r="K880" s="35">
        <v>252.84585000000001</v>
      </c>
      <c r="L880" s="35">
        <f t="shared" si="401"/>
        <v>100</v>
      </c>
      <c r="M880" s="35">
        <f t="shared" si="402"/>
        <v>100</v>
      </c>
    </row>
    <row r="881" spans="1:13">
      <c r="A881" s="59" t="s">
        <v>72</v>
      </c>
      <c r="B881" s="28" t="s">
        <v>347</v>
      </c>
      <c r="C881" s="28" t="s">
        <v>130</v>
      </c>
      <c r="D881" s="28" t="s">
        <v>19</v>
      </c>
      <c r="E881" s="28" t="s">
        <v>383</v>
      </c>
      <c r="F881" s="28" t="s">
        <v>73</v>
      </c>
      <c r="G881" s="35">
        <f>G882</f>
        <v>0.8</v>
      </c>
      <c r="H881" s="35">
        <f t="shared" ref="H881:K881" si="409">H882</f>
        <v>0.8</v>
      </c>
      <c r="I881" s="35">
        <f t="shared" si="409"/>
        <v>0</v>
      </c>
      <c r="J881" s="35">
        <f t="shared" si="409"/>
        <v>0</v>
      </c>
      <c r="K881" s="35">
        <f t="shared" si="409"/>
        <v>0</v>
      </c>
      <c r="L881" s="35">
        <f t="shared" si="401"/>
        <v>0</v>
      </c>
      <c r="M881" s="35">
        <v>0</v>
      </c>
    </row>
    <row r="882" spans="1:13">
      <c r="A882" s="59" t="s">
        <v>74</v>
      </c>
      <c r="B882" s="28" t="s">
        <v>347</v>
      </c>
      <c r="C882" s="28" t="s">
        <v>130</v>
      </c>
      <c r="D882" s="28" t="s">
        <v>19</v>
      </c>
      <c r="E882" s="28" t="s">
        <v>383</v>
      </c>
      <c r="F882" s="28" t="s">
        <v>75</v>
      </c>
      <c r="G882" s="35">
        <v>0.8</v>
      </c>
      <c r="H882" s="35">
        <v>0.8</v>
      </c>
      <c r="I882" s="35">
        <v>0</v>
      </c>
      <c r="J882" s="35">
        <v>0</v>
      </c>
      <c r="K882" s="35">
        <v>0</v>
      </c>
      <c r="L882" s="35">
        <f t="shared" si="401"/>
        <v>0</v>
      </c>
      <c r="M882" s="35">
        <v>0</v>
      </c>
    </row>
    <row r="883" spans="1:13">
      <c r="A883" s="59"/>
      <c r="B883" s="28"/>
      <c r="C883" s="28"/>
      <c r="D883" s="28"/>
      <c r="E883" s="28"/>
      <c r="F883" s="28"/>
      <c r="G883" s="35"/>
      <c r="H883" s="35"/>
      <c r="I883" s="35"/>
      <c r="J883" s="35"/>
      <c r="K883" s="35"/>
      <c r="L883" s="35"/>
      <c r="M883" s="35"/>
    </row>
    <row r="884" spans="1:13" ht="39.75" customHeight="1">
      <c r="A884" s="73" t="s">
        <v>1129</v>
      </c>
      <c r="B884" s="74" t="s">
        <v>1130</v>
      </c>
      <c r="C884" s="28"/>
      <c r="D884" s="28"/>
      <c r="E884" s="28"/>
      <c r="F884" s="28"/>
      <c r="G884" s="75">
        <f>G885+G918</f>
        <v>483418.39999999997</v>
      </c>
      <c r="H884" s="75">
        <f>H885+H918</f>
        <v>487240.49114999996</v>
      </c>
      <c r="I884" s="75">
        <f t="shared" ref="I884:K884" si="410">I885+I918</f>
        <v>374878.78115</v>
      </c>
      <c r="J884" s="75">
        <f t="shared" si="410"/>
        <v>344481.37115000002</v>
      </c>
      <c r="K884" s="75">
        <f t="shared" si="410"/>
        <v>340206.98752000002</v>
      </c>
      <c r="L884" s="30">
        <f t="shared" si="401"/>
        <v>69.823217425348432</v>
      </c>
      <c r="M884" s="30">
        <f t="shared" si="402"/>
        <v>90.751198687842844</v>
      </c>
    </row>
    <row r="885" spans="1:13">
      <c r="A885" s="59" t="s">
        <v>16</v>
      </c>
      <c r="B885" s="67" t="s">
        <v>1130</v>
      </c>
      <c r="C885" s="28" t="s">
        <v>17</v>
      </c>
      <c r="D885" s="28"/>
      <c r="E885" s="28"/>
      <c r="F885" s="28"/>
      <c r="G885" s="35">
        <f>G886</f>
        <v>460880.1</v>
      </c>
      <c r="H885" s="35">
        <f>H886</f>
        <v>464702.19999999995</v>
      </c>
      <c r="I885" s="35">
        <f t="shared" ref="I885:K885" si="411">I886</f>
        <v>358998.8</v>
      </c>
      <c r="J885" s="35">
        <f t="shared" si="411"/>
        <v>328601.39</v>
      </c>
      <c r="K885" s="35">
        <f t="shared" si="411"/>
        <v>328601.39</v>
      </c>
      <c r="L885" s="35">
        <f t="shared" si="401"/>
        <v>70.712251846451352</v>
      </c>
      <c r="M885" s="35">
        <f t="shared" si="402"/>
        <v>91.53272657178799</v>
      </c>
    </row>
    <row r="886" spans="1:13">
      <c r="A886" s="59" t="s">
        <v>386</v>
      </c>
      <c r="B886" s="67" t="s">
        <v>1130</v>
      </c>
      <c r="C886" s="28" t="s">
        <v>17</v>
      </c>
      <c r="D886" s="28" t="s">
        <v>387</v>
      </c>
      <c r="E886" s="28"/>
      <c r="F886" s="28"/>
      <c r="G886" s="35">
        <f>G891+G896</f>
        <v>460880.1</v>
      </c>
      <c r="H886" s="35">
        <f>H891+H896+H887+H913</f>
        <v>464702.19999999995</v>
      </c>
      <c r="I886" s="35">
        <f t="shared" ref="I886:K886" si="412">I891+I896+I887+I913</f>
        <v>358998.8</v>
      </c>
      <c r="J886" s="35">
        <f t="shared" si="412"/>
        <v>328601.39</v>
      </c>
      <c r="K886" s="35">
        <f t="shared" si="412"/>
        <v>328601.39</v>
      </c>
      <c r="L886" s="35">
        <f t="shared" si="401"/>
        <v>70.712251846451352</v>
      </c>
      <c r="M886" s="35">
        <f t="shared" si="402"/>
        <v>91.53272657178799</v>
      </c>
    </row>
    <row r="887" spans="1:13" s="91" customFormat="1">
      <c r="A887" s="25" t="s">
        <v>301</v>
      </c>
      <c r="B887" s="67" t="s">
        <v>1130</v>
      </c>
      <c r="C887" s="28" t="s">
        <v>17</v>
      </c>
      <c r="D887" s="28" t="s">
        <v>387</v>
      </c>
      <c r="E887" s="29" t="s">
        <v>300</v>
      </c>
      <c r="F887" s="28"/>
      <c r="G887" s="35"/>
      <c r="H887" s="35">
        <f>H888</f>
        <v>1200</v>
      </c>
      <c r="I887" s="35">
        <f t="shared" ref="I887:K889" si="413">I888</f>
        <v>1200</v>
      </c>
      <c r="J887" s="35">
        <f t="shared" si="413"/>
        <v>1200</v>
      </c>
      <c r="K887" s="35">
        <f t="shared" si="413"/>
        <v>1200</v>
      </c>
      <c r="L887" s="35">
        <f t="shared" si="401"/>
        <v>100</v>
      </c>
      <c r="M887" s="35">
        <f t="shared" si="402"/>
        <v>100</v>
      </c>
    </row>
    <row r="888" spans="1:13" s="91" customFormat="1" ht="38.25">
      <c r="A888" s="62" t="s">
        <v>1257</v>
      </c>
      <c r="B888" s="67" t="s">
        <v>1130</v>
      </c>
      <c r="C888" s="28" t="s">
        <v>17</v>
      </c>
      <c r="D888" s="28" t="s">
        <v>387</v>
      </c>
      <c r="E888" s="29" t="s">
        <v>1256</v>
      </c>
      <c r="F888" s="28"/>
      <c r="G888" s="35"/>
      <c r="H888" s="35">
        <f>H889</f>
        <v>1200</v>
      </c>
      <c r="I888" s="35">
        <f t="shared" si="413"/>
        <v>1200</v>
      </c>
      <c r="J888" s="35">
        <f t="shared" si="413"/>
        <v>1200</v>
      </c>
      <c r="K888" s="35">
        <f t="shared" si="413"/>
        <v>1200</v>
      </c>
      <c r="L888" s="35">
        <f t="shared" si="401"/>
        <v>100</v>
      </c>
      <c r="M888" s="35">
        <f t="shared" si="402"/>
        <v>100</v>
      </c>
    </row>
    <row r="889" spans="1:13" s="91" customFormat="1" ht="25.5">
      <c r="A889" s="59" t="s">
        <v>80</v>
      </c>
      <c r="B889" s="67" t="s">
        <v>1130</v>
      </c>
      <c r="C889" s="28" t="s">
        <v>17</v>
      </c>
      <c r="D889" s="28" t="s">
        <v>387</v>
      </c>
      <c r="E889" s="29" t="s">
        <v>1256</v>
      </c>
      <c r="F889" s="28">
        <v>600</v>
      </c>
      <c r="G889" s="35"/>
      <c r="H889" s="35">
        <f>H890</f>
        <v>1200</v>
      </c>
      <c r="I889" s="35">
        <f t="shared" si="413"/>
        <v>1200</v>
      </c>
      <c r="J889" s="35">
        <f t="shared" si="413"/>
        <v>1200</v>
      </c>
      <c r="K889" s="35">
        <f t="shared" si="413"/>
        <v>1200</v>
      </c>
      <c r="L889" s="35">
        <f t="shared" si="401"/>
        <v>100</v>
      </c>
      <c r="M889" s="35">
        <f t="shared" si="402"/>
        <v>100</v>
      </c>
    </row>
    <row r="890" spans="1:13" s="91" customFormat="1">
      <c r="A890" s="59" t="s">
        <v>82</v>
      </c>
      <c r="B890" s="67" t="s">
        <v>1130</v>
      </c>
      <c r="C890" s="28" t="s">
        <v>17</v>
      </c>
      <c r="D890" s="28" t="s">
        <v>387</v>
      </c>
      <c r="E890" s="29" t="s">
        <v>1256</v>
      </c>
      <c r="F890" s="28">
        <v>620</v>
      </c>
      <c r="G890" s="35"/>
      <c r="H890" s="35">
        <v>1200</v>
      </c>
      <c r="I890" s="35">
        <v>1200</v>
      </c>
      <c r="J890" s="35">
        <v>1200</v>
      </c>
      <c r="K890" s="35">
        <v>1200</v>
      </c>
      <c r="L890" s="35">
        <f t="shared" si="401"/>
        <v>100</v>
      </c>
      <c r="M890" s="35">
        <f t="shared" si="402"/>
        <v>100</v>
      </c>
    </row>
    <row r="891" spans="1:13" ht="69.75" customHeight="1">
      <c r="A891" s="59" t="s">
        <v>166</v>
      </c>
      <c r="B891" s="67" t="s">
        <v>1130</v>
      </c>
      <c r="C891" s="28" t="s">
        <v>17</v>
      </c>
      <c r="D891" s="28" t="s">
        <v>387</v>
      </c>
      <c r="E891" s="29" t="s">
        <v>167</v>
      </c>
      <c r="F891" s="28"/>
      <c r="G891" s="35">
        <f t="shared" ref="G891:H894" si="414">G892</f>
        <v>28634</v>
      </c>
      <c r="H891" s="35">
        <f t="shared" si="414"/>
        <v>28634</v>
      </c>
      <c r="I891" s="35">
        <f t="shared" ref="I891:K894" si="415">I892</f>
        <v>27594</v>
      </c>
      <c r="J891" s="35">
        <f t="shared" si="415"/>
        <v>7936.4</v>
      </c>
      <c r="K891" s="35">
        <f t="shared" si="415"/>
        <v>7936.4</v>
      </c>
      <c r="L891" s="35">
        <f t="shared" si="401"/>
        <v>27.716700426066915</v>
      </c>
      <c r="M891" s="35">
        <f t="shared" si="402"/>
        <v>28.761324925708486</v>
      </c>
    </row>
    <row r="892" spans="1:13" ht="46.5" customHeight="1">
      <c r="A892" s="59" t="s">
        <v>910</v>
      </c>
      <c r="B892" s="67" t="s">
        <v>1130</v>
      </c>
      <c r="C892" s="28" t="s">
        <v>17</v>
      </c>
      <c r="D892" s="28" t="s">
        <v>387</v>
      </c>
      <c r="E892" s="29" t="s">
        <v>911</v>
      </c>
      <c r="F892" s="28"/>
      <c r="G892" s="35">
        <f t="shared" si="414"/>
        <v>28634</v>
      </c>
      <c r="H892" s="35">
        <f t="shared" si="414"/>
        <v>28634</v>
      </c>
      <c r="I892" s="35">
        <f t="shared" si="415"/>
        <v>27594</v>
      </c>
      <c r="J892" s="35">
        <f t="shared" si="415"/>
        <v>7936.4</v>
      </c>
      <c r="K892" s="35">
        <f t="shared" si="415"/>
        <v>7936.4</v>
      </c>
      <c r="L892" s="35">
        <f t="shared" si="401"/>
        <v>27.716700426066915</v>
      </c>
      <c r="M892" s="35">
        <f t="shared" si="402"/>
        <v>28.761324925708486</v>
      </c>
    </row>
    <row r="893" spans="1:13" ht="32.25" customHeight="1">
      <c r="A893" s="59" t="s">
        <v>748</v>
      </c>
      <c r="B893" s="67" t="s">
        <v>1130</v>
      </c>
      <c r="C893" s="28" t="s">
        <v>17</v>
      </c>
      <c r="D893" s="28" t="s">
        <v>387</v>
      </c>
      <c r="E893" s="29" t="s">
        <v>952</v>
      </c>
      <c r="F893" s="28"/>
      <c r="G893" s="35">
        <f t="shared" si="414"/>
        <v>28634</v>
      </c>
      <c r="H893" s="35">
        <f t="shared" si="414"/>
        <v>28634</v>
      </c>
      <c r="I893" s="35">
        <f t="shared" si="415"/>
        <v>27594</v>
      </c>
      <c r="J893" s="35">
        <f t="shared" si="415"/>
        <v>7936.4</v>
      </c>
      <c r="K893" s="35">
        <f t="shared" si="415"/>
        <v>7936.4</v>
      </c>
      <c r="L893" s="35">
        <f t="shared" si="401"/>
        <v>27.716700426066915</v>
      </c>
      <c r="M893" s="35">
        <f t="shared" si="402"/>
        <v>28.761324925708486</v>
      </c>
    </row>
    <row r="894" spans="1:13" ht="25.5">
      <c r="A894" s="59" t="s">
        <v>80</v>
      </c>
      <c r="B894" s="67" t="s">
        <v>1130</v>
      </c>
      <c r="C894" s="28" t="s">
        <v>17</v>
      </c>
      <c r="D894" s="28" t="s">
        <v>387</v>
      </c>
      <c r="E894" s="29" t="s">
        <v>952</v>
      </c>
      <c r="F894" s="28">
        <v>600</v>
      </c>
      <c r="G894" s="35">
        <f t="shared" si="414"/>
        <v>28634</v>
      </c>
      <c r="H894" s="35">
        <f t="shared" si="414"/>
        <v>28634</v>
      </c>
      <c r="I894" s="35">
        <f t="shared" si="415"/>
        <v>27594</v>
      </c>
      <c r="J894" s="35">
        <f t="shared" si="415"/>
        <v>7936.4</v>
      </c>
      <c r="K894" s="35">
        <f t="shared" si="415"/>
        <v>7936.4</v>
      </c>
      <c r="L894" s="35">
        <f t="shared" si="401"/>
        <v>27.716700426066915</v>
      </c>
      <c r="M894" s="35">
        <f t="shared" si="402"/>
        <v>28.761324925708486</v>
      </c>
    </row>
    <row r="895" spans="1:13">
      <c r="A895" s="59" t="s">
        <v>82</v>
      </c>
      <c r="B895" s="67" t="s">
        <v>1130</v>
      </c>
      <c r="C895" s="28" t="s">
        <v>17</v>
      </c>
      <c r="D895" s="28" t="s">
        <v>387</v>
      </c>
      <c r="E895" s="29" t="s">
        <v>952</v>
      </c>
      <c r="F895" s="28">
        <v>620</v>
      </c>
      <c r="G895" s="35">
        <v>28634</v>
      </c>
      <c r="H895" s="35">
        <v>28634</v>
      </c>
      <c r="I895" s="35">
        <v>27594</v>
      </c>
      <c r="J895" s="35">
        <v>7936.4</v>
      </c>
      <c r="K895" s="35">
        <v>7936.4</v>
      </c>
      <c r="L895" s="35">
        <f t="shared" si="401"/>
        <v>27.716700426066915</v>
      </c>
      <c r="M895" s="35">
        <f t="shared" si="402"/>
        <v>28.761324925708486</v>
      </c>
    </row>
    <row r="896" spans="1:13" ht="41.25" customHeight="1">
      <c r="A896" s="59" t="s">
        <v>734</v>
      </c>
      <c r="B896" s="67" t="s">
        <v>1130</v>
      </c>
      <c r="C896" s="28" t="s">
        <v>17</v>
      </c>
      <c r="D896" s="28" t="s">
        <v>387</v>
      </c>
      <c r="E896" s="29" t="s">
        <v>735</v>
      </c>
      <c r="F896" s="28"/>
      <c r="G896" s="35">
        <f>G897+G906</f>
        <v>432246.1</v>
      </c>
      <c r="H896" s="35">
        <f>H897+H906</f>
        <v>432246.1</v>
      </c>
      <c r="I896" s="35">
        <f t="shared" ref="I896:K896" si="416">I897+I906</f>
        <v>327582.7</v>
      </c>
      <c r="J896" s="35">
        <f t="shared" si="416"/>
        <v>316842.89</v>
      </c>
      <c r="K896" s="35">
        <f t="shared" si="416"/>
        <v>316842.89</v>
      </c>
      <c r="L896" s="35">
        <f t="shared" si="401"/>
        <v>73.301503472211778</v>
      </c>
      <c r="M896" s="35">
        <f t="shared" si="402"/>
        <v>96.721496586968726</v>
      </c>
    </row>
    <row r="897" spans="1:13" ht="56.25" customHeight="1">
      <c r="A897" s="59" t="s">
        <v>975</v>
      </c>
      <c r="B897" s="67" t="s">
        <v>1130</v>
      </c>
      <c r="C897" s="28" t="s">
        <v>17</v>
      </c>
      <c r="D897" s="28" t="s">
        <v>387</v>
      </c>
      <c r="E897" s="29" t="s">
        <v>976</v>
      </c>
      <c r="F897" s="28"/>
      <c r="G897" s="35">
        <f>G898+G901</f>
        <v>353436.5</v>
      </c>
      <c r="H897" s="35">
        <f>H898+H901</f>
        <v>353436.5</v>
      </c>
      <c r="I897" s="35">
        <f t="shared" ref="I897:K897" si="417">I898+I901</f>
        <v>266437.90000000002</v>
      </c>
      <c r="J897" s="35">
        <f t="shared" si="417"/>
        <v>266416.64000000001</v>
      </c>
      <c r="K897" s="35">
        <f t="shared" si="417"/>
        <v>266416.64000000001</v>
      </c>
      <c r="L897" s="35">
        <f t="shared" si="401"/>
        <v>75.378926624726077</v>
      </c>
      <c r="M897" s="35">
        <f t="shared" si="402"/>
        <v>99.992020654719155</v>
      </c>
    </row>
    <row r="898" spans="1:13" ht="29.25" customHeight="1">
      <c r="A898" s="59" t="s">
        <v>76</v>
      </c>
      <c r="B898" s="67" t="s">
        <v>1130</v>
      </c>
      <c r="C898" s="28" t="s">
        <v>17</v>
      </c>
      <c r="D898" s="28" t="s">
        <v>387</v>
      </c>
      <c r="E898" s="29" t="s">
        <v>977</v>
      </c>
      <c r="F898" s="28"/>
      <c r="G898" s="35">
        <f>G899</f>
        <v>221727.5</v>
      </c>
      <c r="H898" s="35">
        <f>H899</f>
        <v>221727.5</v>
      </c>
      <c r="I898" s="35">
        <f t="shared" ref="I898:K899" si="418">I899</f>
        <v>134728.9</v>
      </c>
      <c r="J898" s="35">
        <f t="shared" si="418"/>
        <v>134728.9</v>
      </c>
      <c r="K898" s="35">
        <f t="shared" si="418"/>
        <v>134728.9</v>
      </c>
      <c r="L898" s="35">
        <f t="shared" si="401"/>
        <v>60.763279250431268</v>
      </c>
      <c r="M898" s="35">
        <f t="shared" si="402"/>
        <v>100</v>
      </c>
    </row>
    <row r="899" spans="1:13" ht="25.5">
      <c r="A899" s="59" t="s">
        <v>80</v>
      </c>
      <c r="B899" s="67" t="s">
        <v>1130</v>
      </c>
      <c r="C899" s="28" t="s">
        <v>17</v>
      </c>
      <c r="D899" s="28" t="s">
        <v>387</v>
      </c>
      <c r="E899" s="29" t="s">
        <v>977</v>
      </c>
      <c r="F899" s="28">
        <v>600</v>
      </c>
      <c r="G899" s="35">
        <f>G900</f>
        <v>221727.5</v>
      </c>
      <c r="H899" s="35">
        <f>H900</f>
        <v>221727.5</v>
      </c>
      <c r="I899" s="35">
        <f t="shared" si="418"/>
        <v>134728.9</v>
      </c>
      <c r="J899" s="35">
        <f t="shared" si="418"/>
        <v>134728.9</v>
      </c>
      <c r="K899" s="35">
        <f t="shared" si="418"/>
        <v>134728.9</v>
      </c>
      <c r="L899" s="35">
        <f t="shared" si="401"/>
        <v>60.763279250431268</v>
      </c>
      <c r="M899" s="35">
        <f t="shared" si="402"/>
        <v>100</v>
      </c>
    </row>
    <row r="900" spans="1:13">
      <c r="A900" s="59" t="s">
        <v>82</v>
      </c>
      <c r="B900" s="67" t="s">
        <v>1130</v>
      </c>
      <c r="C900" s="28" t="s">
        <v>17</v>
      </c>
      <c r="D900" s="28" t="s">
        <v>387</v>
      </c>
      <c r="E900" s="29" t="s">
        <v>977</v>
      </c>
      <c r="F900" s="28">
        <v>620</v>
      </c>
      <c r="G900" s="35">
        <v>221727.5</v>
      </c>
      <c r="H900" s="35">
        <v>221727.5</v>
      </c>
      <c r="I900" s="35">
        <v>134728.9</v>
      </c>
      <c r="J900" s="35">
        <v>134728.9</v>
      </c>
      <c r="K900" s="35">
        <v>134728.9</v>
      </c>
      <c r="L900" s="35">
        <f t="shared" si="401"/>
        <v>60.763279250431268</v>
      </c>
      <c r="M900" s="35">
        <f t="shared" si="402"/>
        <v>100</v>
      </c>
    </row>
    <row r="901" spans="1:13" ht="39.75" customHeight="1">
      <c r="A901" s="59" t="s">
        <v>748</v>
      </c>
      <c r="B901" s="67" t="s">
        <v>1130</v>
      </c>
      <c r="C901" s="28" t="s">
        <v>17</v>
      </c>
      <c r="D901" s="28" t="s">
        <v>387</v>
      </c>
      <c r="E901" s="29" t="s">
        <v>978</v>
      </c>
      <c r="F901" s="28"/>
      <c r="G901" s="35">
        <f>G902+G904</f>
        <v>131709</v>
      </c>
      <c r="H901" s="35">
        <f>H902+H904</f>
        <v>131709</v>
      </c>
      <c r="I901" s="35">
        <f t="shared" ref="I901:K901" si="419">I902+I904</f>
        <v>131709</v>
      </c>
      <c r="J901" s="35">
        <f t="shared" si="419"/>
        <v>131687.74</v>
      </c>
      <c r="K901" s="35">
        <f t="shared" si="419"/>
        <v>131687.74</v>
      </c>
      <c r="L901" s="35">
        <f t="shared" si="401"/>
        <v>99.9838583544025</v>
      </c>
      <c r="M901" s="35">
        <f t="shared" si="402"/>
        <v>99.9838583544025</v>
      </c>
    </row>
    <row r="902" spans="1:13" ht="25.5">
      <c r="A902" s="59" t="s">
        <v>39</v>
      </c>
      <c r="B902" s="67" t="s">
        <v>1130</v>
      </c>
      <c r="C902" s="28" t="s">
        <v>17</v>
      </c>
      <c r="D902" s="28" t="s">
        <v>387</v>
      </c>
      <c r="E902" s="29" t="s">
        <v>978</v>
      </c>
      <c r="F902" s="28">
        <v>400</v>
      </c>
      <c r="G902" s="35">
        <f>G903</f>
        <v>49600</v>
      </c>
      <c r="H902" s="35">
        <f>H903</f>
        <v>49600</v>
      </c>
      <c r="I902" s="35">
        <f t="shared" ref="I902:K902" si="420">I903</f>
        <v>49600</v>
      </c>
      <c r="J902" s="35">
        <f t="shared" si="420"/>
        <v>49578.74</v>
      </c>
      <c r="K902" s="35">
        <f t="shared" si="420"/>
        <v>49578.74</v>
      </c>
      <c r="L902" s="35">
        <f t="shared" si="401"/>
        <v>99.95713709677419</v>
      </c>
      <c r="M902" s="35">
        <f t="shared" si="402"/>
        <v>99.95713709677419</v>
      </c>
    </row>
    <row r="903" spans="1:13" ht="91.5" customHeight="1">
      <c r="A903" s="59" t="s">
        <v>410</v>
      </c>
      <c r="B903" s="67" t="s">
        <v>1130</v>
      </c>
      <c r="C903" s="28" t="s">
        <v>17</v>
      </c>
      <c r="D903" s="28" t="s">
        <v>387</v>
      </c>
      <c r="E903" s="29" t="s">
        <v>978</v>
      </c>
      <c r="F903" s="28">
        <v>460</v>
      </c>
      <c r="G903" s="35">
        <v>49600</v>
      </c>
      <c r="H903" s="35">
        <v>49600</v>
      </c>
      <c r="I903" s="35">
        <v>49600</v>
      </c>
      <c r="J903" s="35">
        <v>49578.74</v>
      </c>
      <c r="K903" s="35">
        <v>49578.74</v>
      </c>
      <c r="L903" s="35">
        <f t="shared" si="401"/>
        <v>99.95713709677419</v>
      </c>
      <c r="M903" s="35">
        <f t="shared" si="402"/>
        <v>99.95713709677419</v>
      </c>
    </row>
    <row r="904" spans="1:13" ht="25.5">
      <c r="A904" s="59" t="s">
        <v>80</v>
      </c>
      <c r="B904" s="67" t="s">
        <v>1130</v>
      </c>
      <c r="C904" s="28" t="s">
        <v>17</v>
      </c>
      <c r="D904" s="28" t="s">
        <v>387</v>
      </c>
      <c r="E904" s="29" t="s">
        <v>978</v>
      </c>
      <c r="F904" s="28">
        <v>600</v>
      </c>
      <c r="G904" s="35">
        <f>G905</f>
        <v>82109</v>
      </c>
      <c r="H904" s="35">
        <f>H905</f>
        <v>82109</v>
      </c>
      <c r="I904" s="35">
        <f t="shared" ref="I904:K904" si="421">I905</f>
        <v>82109</v>
      </c>
      <c r="J904" s="35">
        <f t="shared" si="421"/>
        <v>82109</v>
      </c>
      <c r="K904" s="35">
        <f t="shared" si="421"/>
        <v>82109</v>
      </c>
      <c r="L904" s="35">
        <f t="shared" si="401"/>
        <v>100</v>
      </c>
      <c r="M904" s="35">
        <f t="shared" si="402"/>
        <v>100</v>
      </c>
    </row>
    <row r="905" spans="1:13">
      <c r="A905" s="59" t="s">
        <v>82</v>
      </c>
      <c r="B905" s="67" t="s">
        <v>1130</v>
      </c>
      <c r="C905" s="28" t="s">
        <v>17</v>
      </c>
      <c r="D905" s="28" t="s">
        <v>387</v>
      </c>
      <c r="E905" s="29" t="s">
        <v>978</v>
      </c>
      <c r="F905" s="28">
        <v>620</v>
      </c>
      <c r="G905" s="35">
        <v>82109</v>
      </c>
      <c r="H905" s="35">
        <v>82109</v>
      </c>
      <c r="I905" s="35">
        <v>82109</v>
      </c>
      <c r="J905" s="35">
        <v>82109</v>
      </c>
      <c r="K905" s="35">
        <v>82109</v>
      </c>
      <c r="L905" s="35">
        <f t="shared" si="401"/>
        <v>100</v>
      </c>
      <c r="M905" s="35">
        <f t="shared" si="402"/>
        <v>100</v>
      </c>
    </row>
    <row r="906" spans="1:13" ht="43.5" customHeight="1">
      <c r="A906" s="59" t="s">
        <v>979</v>
      </c>
      <c r="B906" s="67" t="s">
        <v>1130</v>
      </c>
      <c r="C906" s="28" t="s">
        <v>17</v>
      </c>
      <c r="D906" s="28" t="s">
        <v>387</v>
      </c>
      <c r="E906" s="29" t="s">
        <v>980</v>
      </c>
      <c r="F906" s="28"/>
      <c r="G906" s="35">
        <f>G907+G910</f>
        <v>78809.599999999991</v>
      </c>
      <c r="H906" s="35">
        <f>H907+H910</f>
        <v>78809.599999999991</v>
      </c>
      <c r="I906" s="35">
        <f t="shared" ref="I906:K906" si="422">I907+I910</f>
        <v>61144.800000000003</v>
      </c>
      <c r="J906" s="35">
        <f t="shared" si="422"/>
        <v>50426.25</v>
      </c>
      <c r="K906" s="35">
        <f t="shared" si="422"/>
        <v>50426.25</v>
      </c>
      <c r="L906" s="35">
        <f t="shared" si="401"/>
        <v>63.984907929998379</v>
      </c>
      <c r="M906" s="35">
        <f t="shared" si="402"/>
        <v>82.470218236056041</v>
      </c>
    </row>
    <row r="907" spans="1:13" ht="25.5">
      <c r="A907" s="59" t="s">
        <v>76</v>
      </c>
      <c r="B907" s="67" t="s">
        <v>1130</v>
      </c>
      <c r="C907" s="28" t="s">
        <v>17</v>
      </c>
      <c r="D907" s="28" t="s">
        <v>387</v>
      </c>
      <c r="E907" s="29" t="s">
        <v>981</v>
      </c>
      <c r="F907" s="28"/>
      <c r="G907" s="35">
        <f>G908</f>
        <v>66082.7</v>
      </c>
      <c r="H907" s="35">
        <f>H908</f>
        <v>66082.7</v>
      </c>
      <c r="I907" s="35">
        <f t="shared" ref="I907:K908" si="423">I908</f>
        <v>51417.9</v>
      </c>
      <c r="J907" s="35">
        <f t="shared" si="423"/>
        <v>40699.35</v>
      </c>
      <c r="K907" s="35">
        <f t="shared" si="423"/>
        <v>40699.35</v>
      </c>
      <c r="L907" s="35">
        <f t="shared" si="401"/>
        <v>61.588509549397955</v>
      </c>
      <c r="M907" s="35">
        <f t="shared" si="402"/>
        <v>79.154049465264038</v>
      </c>
    </row>
    <row r="908" spans="1:13" ht="25.5">
      <c r="A908" s="62" t="s">
        <v>80</v>
      </c>
      <c r="B908" s="67" t="s">
        <v>1130</v>
      </c>
      <c r="C908" s="28" t="s">
        <v>17</v>
      </c>
      <c r="D908" s="28" t="s">
        <v>387</v>
      </c>
      <c r="E908" s="29" t="s">
        <v>981</v>
      </c>
      <c r="F908" s="28">
        <v>600</v>
      </c>
      <c r="G908" s="35">
        <f>G909</f>
        <v>66082.7</v>
      </c>
      <c r="H908" s="35">
        <f>H909</f>
        <v>66082.7</v>
      </c>
      <c r="I908" s="35">
        <f t="shared" si="423"/>
        <v>51417.9</v>
      </c>
      <c r="J908" s="35">
        <f t="shared" si="423"/>
        <v>40699.35</v>
      </c>
      <c r="K908" s="35">
        <f t="shared" si="423"/>
        <v>40699.35</v>
      </c>
      <c r="L908" s="35">
        <f t="shared" si="401"/>
        <v>61.588509549397955</v>
      </c>
      <c r="M908" s="35">
        <f t="shared" si="402"/>
        <v>79.154049465264038</v>
      </c>
    </row>
    <row r="909" spans="1:13">
      <c r="A909" s="59" t="s">
        <v>82</v>
      </c>
      <c r="B909" s="67" t="s">
        <v>1130</v>
      </c>
      <c r="C909" s="28" t="s">
        <v>17</v>
      </c>
      <c r="D909" s="28" t="s">
        <v>387</v>
      </c>
      <c r="E909" s="29" t="s">
        <v>981</v>
      </c>
      <c r="F909" s="28">
        <v>620</v>
      </c>
      <c r="G909" s="35">
        <v>66082.7</v>
      </c>
      <c r="H909" s="35">
        <v>66082.7</v>
      </c>
      <c r="I909" s="35">
        <v>51417.9</v>
      </c>
      <c r="J909" s="35">
        <v>40699.35</v>
      </c>
      <c r="K909" s="35">
        <v>40699.35</v>
      </c>
      <c r="L909" s="35">
        <f t="shared" si="401"/>
        <v>61.588509549397955</v>
      </c>
      <c r="M909" s="35">
        <f t="shared" si="402"/>
        <v>79.154049465264038</v>
      </c>
    </row>
    <row r="910" spans="1:13" ht="37.5" customHeight="1">
      <c r="A910" s="59" t="s">
        <v>748</v>
      </c>
      <c r="B910" s="67" t="s">
        <v>1130</v>
      </c>
      <c r="C910" s="28" t="s">
        <v>17</v>
      </c>
      <c r="D910" s="28" t="s">
        <v>387</v>
      </c>
      <c r="E910" s="29" t="s">
        <v>982</v>
      </c>
      <c r="F910" s="28"/>
      <c r="G910" s="35">
        <f>G911</f>
        <v>12726.9</v>
      </c>
      <c r="H910" s="35">
        <f>H911</f>
        <v>12726.9</v>
      </c>
      <c r="I910" s="35">
        <f t="shared" ref="I910:K911" si="424">I911</f>
        <v>9726.9</v>
      </c>
      <c r="J910" s="35">
        <f t="shared" si="424"/>
        <v>9726.9</v>
      </c>
      <c r="K910" s="35">
        <f t="shared" si="424"/>
        <v>9726.9</v>
      </c>
      <c r="L910" s="35">
        <f t="shared" si="401"/>
        <v>76.427881102232277</v>
      </c>
      <c r="M910" s="35">
        <f t="shared" si="402"/>
        <v>100</v>
      </c>
    </row>
    <row r="911" spans="1:13" ht="25.5">
      <c r="A911" s="62" t="s">
        <v>80</v>
      </c>
      <c r="B911" s="67" t="s">
        <v>1130</v>
      </c>
      <c r="C911" s="28" t="s">
        <v>17</v>
      </c>
      <c r="D911" s="28" t="s">
        <v>387</v>
      </c>
      <c r="E911" s="29" t="s">
        <v>982</v>
      </c>
      <c r="F911" s="28">
        <v>600</v>
      </c>
      <c r="G911" s="35">
        <f>G912</f>
        <v>12726.9</v>
      </c>
      <c r="H911" s="35">
        <f>H912</f>
        <v>12726.9</v>
      </c>
      <c r="I911" s="35">
        <f t="shared" si="424"/>
        <v>9726.9</v>
      </c>
      <c r="J911" s="35">
        <f t="shared" si="424"/>
        <v>9726.9</v>
      </c>
      <c r="K911" s="35">
        <f t="shared" si="424"/>
        <v>9726.9</v>
      </c>
      <c r="L911" s="35">
        <f t="shared" si="401"/>
        <v>76.427881102232277</v>
      </c>
      <c r="M911" s="35">
        <f t="shared" si="402"/>
        <v>100</v>
      </c>
    </row>
    <row r="912" spans="1:13">
      <c r="A912" s="59" t="s">
        <v>82</v>
      </c>
      <c r="B912" s="67" t="s">
        <v>1130</v>
      </c>
      <c r="C912" s="28" t="s">
        <v>17</v>
      </c>
      <c r="D912" s="28" t="s">
        <v>387</v>
      </c>
      <c r="E912" s="29" t="s">
        <v>982</v>
      </c>
      <c r="F912" s="28">
        <v>620</v>
      </c>
      <c r="G912" s="35">
        <v>12726.9</v>
      </c>
      <c r="H912" s="35">
        <v>12726.9</v>
      </c>
      <c r="I912" s="35">
        <v>9726.9</v>
      </c>
      <c r="J912" s="35">
        <v>9726.9</v>
      </c>
      <c r="K912" s="35">
        <v>9726.9</v>
      </c>
      <c r="L912" s="35">
        <f t="shared" si="401"/>
        <v>76.427881102232277</v>
      </c>
      <c r="M912" s="35">
        <f t="shared" si="402"/>
        <v>100</v>
      </c>
    </row>
    <row r="913" spans="1:13" s="91" customFormat="1" ht="25.5" customHeight="1">
      <c r="A913" s="62" t="s">
        <v>612</v>
      </c>
      <c r="B913" s="67" t="s">
        <v>1130</v>
      </c>
      <c r="C913" s="28" t="s">
        <v>17</v>
      </c>
      <c r="D913" s="28" t="s">
        <v>387</v>
      </c>
      <c r="E913" s="29" t="s">
        <v>613</v>
      </c>
      <c r="F913" s="28"/>
      <c r="G913" s="35"/>
      <c r="H913" s="35">
        <f>H914</f>
        <v>2622.1</v>
      </c>
      <c r="I913" s="35">
        <f t="shared" ref="I913:K915" si="425">I914</f>
        <v>2622.1</v>
      </c>
      <c r="J913" s="35">
        <f t="shared" si="425"/>
        <v>2622.1</v>
      </c>
      <c r="K913" s="35">
        <f t="shared" si="425"/>
        <v>2622.1</v>
      </c>
      <c r="L913" s="35">
        <f t="shared" si="401"/>
        <v>100</v>
      </c>
      <c r="M913" s="35">
        <f t="shared" si="402"/>
        <v>100</v>
      </c>
    </row>
    <row r="914" spans="1:13" s="91" customFormat="1" ht="27.75" customHeight="1">
      <c r="A914" s="59" t="s">
        <v>612</v>
      </c>
      <c r="B914" s="67" t="s">
        <v>1130</v>
      </c>
      <c r="C914" s="28" t="s">
        <v>17</v>
      </c>
      <c r="D914" s="28" t="s">
        <v>387</v>
      </c>
      <c r="E914" s="29" t="s">
        <v>614</v>
      </c>
      <c r="F914" s="28"/>
      <c r="G914" s="35"/>
      <c r="H914" s="35">
        <f>H915</f>
        <v>2622.1</v>
      </c>
      <c r="I914" s="35">
        <f t="shared" si="425"/>
        <v>2622.1</v>
      </c>
      <c r="J914" s="35">
        <f t="shared" si="425"/>
        <v>2622.1</v>
      </c>
      <c r="K914" s="35">
        <f t="shared" si="425"/>
        <v>2622.1</v>
      </c>
      <c r="L914" s="35">
        <f t="shared" si="401"/>
        <v>100</v>
      </c>
      <c r="M914" s="35">
        <f t="shared" si="402"/>
        <v>100</v>
      </c>
    </row>
    <row r="915" spans="1:13" s="91" customFormat="1" ht="25.5">
      <c r="A915" s="62" t="s">
        <v>80</v>
      </c>
      <c r="B915" s="67" t="s">
        <v>1130</v>
      </c>
      <c r="C915" s="28" t="s">
        <v>17</v>
      </c>
      <c r="D915" s="28" t="s">
        <v>387</v>
      </c>
      <c r="E915" s="29" t="s">
        <v>614</v>
      </c>
      <c r="F915" s="28">
        <v>600</v>
      </c>
      <c r="G915" s="35"/>
      <c r="H915" s="35">
        <f>H916</f>
        <v>2622.1</v>
      </c>
      <c r="I915" s="35">
        <f t="shared" si="425"/>
        <v>2622.1</v>
      </c>
      <c r="J915" s="35">
        <f t="shared" si="425"/>
        <v>2622.1</v>
      </c>
      <c r="K915" s="35">
        <f t="shared" si="425"/>
        <v>2622.1</v>
      </c>
      <c r="L915" s="35">
        <f t="shared" si="401"/>
        <v>100</v>
      </c>
      <c r="M915" s="35">
        <f t="shared" si="402"/>
        <v>100</v>
      </c>
    </row>
    <row r="916" spans="1:13" s="91" customFormat="1">
      <c r="A916" s="59" t="s">
        <v>82</v>
      </c>
      <c r="B916" s="67" t="s">
        <v>1130</v>
      </c>
      <c r="C916" s="28" t="s">
        <v>17</v>
      </c>
      <c r="D916" s="28" t="s">
        <v>387</v>
      </c>
      <c r="E916" s="29" t="s">
        <v>614</v>
      </c>
      <c r="F916" s="28">
        <v>620</v>
      </c>
      <c r="G916" s="35"/>
      <c r="H916" s="35">
        <v>2622.1</v>
      </c>
      <c r="I916" s="35">
        <v>2622.1</v>
      </c>
      <c r="J916" s="35">
        <v>2622.1</v>
      </c>
      <c r="K916" s="35">
        <v>2622.1</v>
      </c>
      <c r="L916" s="35">
        <f t="shared" si="401"/>
        <v>100</v>
      </c>
      <c r="M916" s="35">
        <f t="shared" si="402"/>
        <v>100</v>
      </c>
    </row>
    <row r="917" spans="1:13">
      <c r="A917" s="59"/>
      <c r="B917" s="67"/>
      <c r="C917" s="28"/>
      <c r="D917" s="28"/>
      <c r="E917" s="29"/>
      <c r="F917" s="28"/>
      <c r="G917" s="35"/>
      <c r="H917" s="35"/>
      <c r="I917" s="35"/>
      <c r="J917" s="35"/>
      <c r="K917" s="35"/>
      <c r="L917" s="35"/>
      <c r="M917" s="35"/>
    </row>
    <row r="918" spans="1:13">
      <c r="A918" s="62" t="s">
        <v>30</v>
      </c>
      <c r="B918" s="67" t="s">
        <v>1130</v>
      </c>
      <c r="C918" s="67" t="s">
        <v>19</v>
      </c>
      <c r="D918" s="28"/>
      <c r="E918" s="29"/>
      <c r="F918" s="28"/>
      <c r="G918" s="35">
        <f>G919</f>
        <v>22538.3</v>
      </c>
      <c r="H918" s="35">
        <f>H919</f>
        <v>22538.291150000001</v>
      </c>
      <c r="I918" s="35">
        <f t="shared" ref="I918:K918" si="426">I919</f>
        <v>15879.98115</v>
      </c>
      <c r="J918" s="35">
        <f t="shared" si="426"/>
        <v>15879.98115</v>
      </c>
      <c r="K918" s="35">
        <f t="shared" si="426"/>
        <v>11605.597519999999</v>
      </c>
      <c r="L918" s="35">
        <f t="shared" si="401"/>
        <v>51.492801485085081</v>
      </c>
      <c r="M918" s="35">
        <f t="shared" si="402"/>
        <v>73.083194560341141</v>
      </c>
    </row>
    <row r="919" spans="1:13">
      <c r="A919" s="62" t="s">
        <v>710</v>
      </c>
      <c r="B919" s="67" t="s">
        <v>1130</v>
      </c>
      <c r="C919" s="67" t="s">
        <v>19</v>
      </c>
      <c r="D919" s="28">
        <v>10</v>
      </c>
      <c r="E919" s="28"/>
      <c r="F919" s="28"/>
      <c r="G919" s="35">
        <f>G920+G925</f>
        <v>22538.3</v>
      </c>
      <c r="H919" s="35">
        <f>H920+H925</f>
        <v>22538.291150000001</v>
      </c>
      <c r="I919" s="35">
        <f t="shared" ref="I919:K919" si="427">I920+I925</f>
        <v>15879.98115</v>
      </c>
      <c r="J919" s="35">
        <f t="shared" si="427"/>
        <v>15879.98115</v>
      </c>
      <c r="K919" s="35">
        <f t="shared" si="427"/>
        <v>11605.597519999999</v>
      </c>
      <c r="L919" s="35">
        <f t="shared" si="401"/>
        <v>51.492801485085081</v>
      </c>
      <c r="M919" s="35">
        <f t="shared" si="402"/>
        <v>73.083194560341141</v>
      </c>
    </row>
    <row r="920" spans="1:13" ht="40.5" customHeight="1">
      <c r="A920" s="62" t="s">
        <v>665</v>
      </c>
      <c r="B920" s="67" t="s">
        <v>1130</v>
      </c>
      <c r="C920" s="67" t="s">
        <v>19</v>
      </c>
      <c r="D920" s="28">
        <v>10</v>
      </c>
      <c r="E920" s="29" t="s">
        <v>666</v>
      </c>
      <c r="F920" s="28"/>
      <c r="G920" s="35">
        <f t="shared" ref="G920:H923" si="428">G921</f>
        <v>7921.7</v>
      </c>
      <c r="H920" s="35">
        <f t="shared" si="428"/>
        <v>7921.7</v>
      </c>
      <c r="I920" s="35">
        <f t="shared" ref="I920:K923" si="429">I921</f>
        <v>5948.7749999999996</v>
      </c>
      <c r="J920" s="35">
        <f t="shared" si="429"/>
        <v>5948.7749999999996</v>
      </c>
      <c r="K920" s="35">
        <f t="shared" si="429"/>
        <v>5948.7749999999996</v>
      </c>
      <c r="L920" s="35">
        <f t="shared" si="401"/>
        <v>75.094676647689255</v>
      </c>
      <c r="M920" s="35">
        <f t="shared" si="402"/>
        <v>100</v>
      </c>
    </row>
    <row r="921" spans="1:13" ht="41.25" customHeight="1">
      <c r="A921" s="62" t="s">
        <v>667</v>
      </c>
      <c r="B921" s="67" t="s">
        <v>1130</v>
      </c>
      <c r="C921" s="67" t="s">
        <v>19</v>
      </c>
      <c r="D921" s="28">
        <v>10</v>
      </c>
      <c r="E921" s="29" t="s">
        <v>668</v>
      </c>
      <c r="F921" s="28"/>
      <c r="G921" s="35">
        <f t="shared" si="428"/>
        <v>7921.7</v>
      </c>
      <c r="H921" s="35">
        <f t="shared" si="428"/>
        <v>7921.7</v>
      </c>
      <c r="I921" s="35">
        <f t="shared" si="429"/>
        <v>5948.7749999999996</v>
      </c>
      <c r="J921" s="35">
        <f t="shared" si="429"/>
        <v>5948.7749999999996</v>
      </c>
      <c r="K921" s="35">
        <f t="shared" si="429"/>
        <v>5948.7749999999996</v>
      </c>
      <c r="L921" s="35">
        <f t="shared" si="401"/>
        <v>75.094676647689255</v>
      </c>
      <c r="M921" s="35">
        <f t="shared" si="402"/>
        <v>100</v>
      </c>
    </row>
    <row r="922" spans="1:13" ht="25.5">
      <c r="A922" s="59" t="s">
        <v>76</v>
      </c>
      <c r="B922" s="67" t="s">
        <v>1130</v>
      </c>
      <c r="C922" s="67" t="s">
        <v>19</v>
      </c>
      <c r="D922" s="28">
        <v>10</v>
      </c>
      <c r="E922" s="29" t="s">
        <v>694</v>
      </c>
      <c r="F922" s="28"/>
      <c r="G922" s="35">
        <f t="shared" si="428"/>
        <v>7921.7</v>
      </c>
      <c r="H922" s="35">
        <f t="shared" si="428"/>
        <v>7921.7</v>
      </c>
      <c r="I922" s="35">
        <f t="shared" si="429"/>
        <v>5948.7749999999996</v>
      </c>
      <c r="J922" s="35">
        <f t="shared" si="429"/>
        <v>5948.7749999999996</v>
      </c>
      <c r="K922" s="35">
        <f t="shared" si="429"/>
        <v>5948.7749999999996</v>
      </c>
      <c r="L922" s="35">
        <f t="shared" si="401"/>
        <v>75.094676647689255</v>
      </c>
      <c r="M922" s="35">
        <f t="shared" si="402"/>
        <v>100</v>
      </c>
    </row>
    <row r="923" spans="1:13" ht="25.5">
      <c r="A923" s="62" t="s">
        <v>80</v>
      </c>
      <c r="B923" s="67" t="s">
        <v>1130</v>
      </c>
      <c r="C923" s="67" t="s">
        <v>19</v>
      </c>
      <c r="D923" s="28">
        <v>10</v>
      </c>
      <c r="E923" s="29" t="s">
        <v>694</v>
      </c>
      <c r="F923" s="28">
        <v>600</v>
      </c>
      <c r="G923" s="35">
        <f t="shared" si="428"/>
        <v>7921.7</v>
      </c>
      <c r="H923" s="35">
        <f t="shared" si="428"/>
        <v>7921.7</v>
      </c>
      <c r="I923" s="35">
        <f t="shared" si="429"/>
        <v>5948.7749999999996</v>
      </c>
      <c r="J923" s="35">
        <f t="shared" si="429"/>
        <v>5948.7749999999996</v>
      </c>
      <c r="K923" s="35">
        <f t="shared" si="429"/>
        <v>5948.7749999999996</v>
      </c>
      <c r="L923" s="35">
        <f t="shared" si="401"/>
        <v>75.094676647689255</v>
      </c>
      <c r="M923" s="35">
        <f t="shared" si="402"/>
        <v>100</v>
      </c>
    </row>
    <row r="924" spans="1:13" ht="13.5" customHeight="1">
      <c r="A924" s="59" t="s">
        <v>271</v>
      </c>
      <c r="B924" s="67" t="s">
        <v>1130</v>
      </c>
      <c r="C924" s="67" t="s">
        <v>19</v>
      </c>
      <c r="D924" s="28">
        <v>10</v>
      </c>
      <c r="E924" s="29" t="s">
        <v>694</v>
      </c>
      <c r="F924" s="28">
        <v>610</v>
      </c>
      <c r="G924" s="35">
        <v>7921.7</v>
      </c>
      <c r="H924" s="35">
        <v>7921.7</v>
      </c>
      <c r="I924" s="35">
        <v>5948.7749999999996</v>
      </c>
      <c r="J924" s="35">
        <v>5948.7749999999996</v>
      </c>
      <c r="K924" s="35">
        <v>5948.7749999999996</v>
      </c>
      <c r="L924" s="35">
        <f t="shared" si="401"/>
        <v>75.094676647689255</v>
      </c>
      <c r="M924" s="35">
        <f t="shared" si="402"/>
        <v>100</v>
      </c>
    </row>
    <row r="925" spans="1:13" ht="38.25">
      <c r="A925" s="59" t="s">
        <v>734</v>
      </c>
      <c r="B925" s="67" t="s">
        <v>1130</v>
      </c>
      <c r="C925" s="67" t="s">
        <v>19</v>
      </c>
      <c r="D925" s="28">
        <v>10</v>
      </c>
      <c r="E925" s="29" t="s">
        <v>735</v>
      </c>
      <c r="F925" s="28"/>
      <c r="G925" s="35">
        <f>G926</f>
        <v>14616.6</v>
      </c>
      <c r="H925" s="35">
        <f>H926</f>
        <v>14616.59115</v>
      </c>
      <c r="I925" s="35">
        <f t="shared" ref="I925:K926" si="430">I926</f>
        <v>9931.20615</v>
      </c>
      <c r="J925" s="35">
        <f t="shared" si="430"/>
        <v>9931.20615</v>
      </c>
      <c r="K925" s="35">
        <f t="shared" si="430"/>
        <v>5656.8225199999997</v>
      </c>
      <c r="L925" s="35">
        <f t="shared" si="401"/>
        <v>38.701380246241612</v>
      </c>
      <c r="M925" s="35">
        <f t="shared" si="402"/>
        <v>56.960075488917326</v>
      </c>
    </row>
    <row r="926" spans="1:13" ht="41.25" customHeight="1">
      <c r="A926" s="62" t="s">
        <v>736</v>
      </c>
      <c r="B926" s="67" t="s">
        <v>1130</v>
      </c>
      <c r="C926" s="67" t="s">
        <v>19</v>
      </c>
      <c r="D926" s="28">
        <v>10</v>
      </c>
      <c r="E926" s="29" t="s">
        <v>737</v>
      </c>
      <c r="F926" s="28"/>
      <c r="G926" s="35">
        <f>G927</f>
        <v>14616.6</v>
      </c>
      <c r="H926" s="35">
        <f>H927</f>
        <v>14616.59115</v>
      </c>
      <c r="I926" s="35">
        <f t="shared" si="430"/>
        <v>9931.20615</v>
      </c>
      <c r="J926" s="35">
        <f t="shared" si="430"/>
        <v>9931.20615</v>
      </c>
      <c r="K926" s="35">
        <f t="shared" si="430"/>
        <v>5656.8225199999997</v>
      </c>
      <c r="L926" s="35">
        <f t="shared" si="401"/>
        <v>38.701380246241612</v>
      </c>
      <c r="M926" s="35">
        <f t="shared" si="402"/>
        <v>56.960075488917326</v>
      </c>
    </row>
    <row r="927" spans="1:13" ht="25.5">
      <c r="A927" s="59" t="s">
        <v>58</v>
      </c>
      <c r="B927" s="67" t="s">
        <v>1130</v>
      </c>
      <c r="C927" s="67" t="s">
        <v>19</v>
      </c>
      <c r="D927" s="28">
        <v>10</v>
      </c>
      <c r="E927" s="29" t="s">
        <v>738</v>
      </c>
      <c r="F927" s="28"/>
      <c r="G927" s="35">
        <f>G928+G930</f>
        <v>14616.6</v>
      </c>
      <c r="H927" s="35">
        <f>H928+H930</f>
        <v>14616.59115</v>
      </c>
      <c r="I927" s="35">
        <f t="shared" ref="I927:K927" si="431">I928+I930</f>
        <v>9931.20615</v>
      </c>
      <c r="J927" s="35">
        <f t="shared" si="431"/>
        <v>9931.20615</v>
      </c>
      <c r="K927" s="35">
        <f t="shared" si="431"/>
        <v>5656.8225199999997</v>
      </c>
      <c r="L927" s="35">
        <f t="shared" si="401"/>
        <v>38.701380246241612</v>
      </c>
      <c r="M927" s="35">
        <f t="shared" si="402"/>
        <v>56.960075488917326</v>
      </c>
    </row>
    <row r="928" spans="1:13" ht="63.75">
      <c r="A928" s="59" t="s">
        <v>60</v>
      </c>
      <c r="B928" s="67" t="s">
        <v>1130</v>
      </c>
      <c r="C928" s="67" t="s">
        <v>19</v>
      </c>
      <c r="D928" s="28">
        <v>10</v>
      </c>
      <c r="E928" s="29" t="s">
        <v>738</v>
      </c>
      <c r="F928" s="28">
        <v>100</v>
      </c>
      <c r="G928" s="35">
        <f>G929</f>
        <v>9561.6</v>
      </c>
      <c r="H928" s="35">
        <f>H929</f>
        <v>9561.6</v>
      </c>
      <c r="I928" s="35">
        <f t="shared" ref="I928:K928" si="432">I929</f>
        <v>4876.2150000000001</v>
      </c>
      <c r="J928" s="35">
        <f t="shared" si="432"/>
        <v>4876.2150000000001</v>
      </c>
      <c r="K928" s="35">
        <f t="shared" si="432"/>
        <v>4058.16669</v>
      </c>
      <c r="L928" s="35">
        <f t="shared" si="401"/>
        <v>42.4423390436747</v>
      </c>
      <c r="M928" s="35">
        <f t="shared" si="402"/>
        <v>83.223703015556111</v>
      </c>
    </row>
    <row r="929" spans="1:13" ht="25.5">
      <c r="A929" s="59" t="s">
        <v>62</v>
      </c>
      <c r="B929" s="67" t="s">
        <v>1130</v>
      </c>
      <c r="C929" s="67" t="s">
        <v>19</v>
      </c>
      <c r="D929" s="28">
        <v>10</v>
      </c>
      <c r="E929" s="29" t="s">
        <v>738</v>
      </c>
      <c r="F929" s="28">
        <v>120</v>
      </c>
      <c r="G929" s="35">
        <v>9561.6</v>
      </c>
      <c r="H929" s="35">
        <f>7099.95+550+1911.65</f>
        <v>9561.6</v>
      </c>
      <c r="I929" s="35">
        <f>3402+550+924.215</f>
        <v>4876.2150000000001</v>
      </c>
      <c r="J929" s="35">
        <f>3402+550+924.215</f>
        <v>4876.2150000000001</v>
      </c>
      <c r="K929" s="35">
        <f>2842.13877+330.71355+885.31437</f>
        <v>4058.16669</v>
      </c>
      <c r="L929" s="35">
        <f t="shared" si="401"/>
        <v>42.4423390436747</v>
      </c>
      <c r="M929" s="35">
        <f t="shared" si="402"/>
        <v>83.223703015556111</v>
      </c>
    </row>
    <row r="930" spans="1:13" ht="25.5">
      <c r="A930" s="59" t="s">
        <v>64</v>
      </c>
      <c r="B930" s="67" t="s">
        <v>1130</v>
      </c>
      <c r="C930" s="67" t="s">
        <v>19</v>
      </c>
      <c r="D930" s="28">
        <v>10</v>
      </c>
      <c r="E930" s="29" t="s">
        <v>738</v>
      </c>
      <c r="F930" s="28">
        <v>200</v>
      </c>
      <c r="G930" s="35">
        <f>G931</f>
        <v>5055</v>
      </c>
      <c r="H930" s="35">
        <f>H931</f>
        <v>5054.9911499999998</v>
      </c>
      <c r="I930" s="35">
        <f t="shared" ref="I930:K930" si="433">I931</f>
        <v>5054.9911499999998</v>
      </c>
      <c r="J930" s="35">
        <f t="shared" si="433"/>
        <v>5054.9911499999998</v>
      </c>
      <c r="K930" s="35">
        <f t="shared" si="433"/>
        <v>1598.6558299999999</v>
      </c>
      <c r="L930" s="35">
        <f t="shared" si="401"/>
        <v>31.62529433904152</v>
      </c>
      <c r="M930" s="35">
        <f t="shared" si="402"/>
        <v>31.62529433904152</v>
      </c>
    </row>
    <row r="931" spans="1:13" ht="25.5">
      <c r="A931" s="59" t="s">
        <v>66</v>
      </c>
      <c r="B931" s="67" t="s">
        <v>1130</v>
      </c>
      <c r="C931" s="67" t="s">
        <v>19</v>
      </c>
      <c r="D931" s="28">
        <v>10</v>
      </c>
      <c r="E931" s="29" t="s">
        <v>738</v>
      </c>
      <c r="F931" s="28">
        <v>240</v>
      </c>
      <c r="G931" s="35">
        <v>5055</v>
      </c>
      <c r="H931" s="35">
        <v>5054.9911499999998</v>
      </c>
      <c r="I931" s="35">
        <v>5054.9911499999998</v>
      </c>
      <c r="J931" s="35">
        <v>5054.9911499999998</v>
      </c>
      <c r="K931" s="35">
        <v>1598.6558299999999</v>
      </c>
      <c r="L931" s="35">
        <f t="shared" ref="L931:L994" si="434">K931/H931*100</f>
        <v>31.62529433904152</v>
      </c>
      <c r="M931" s="35">
        <f t="shared" ref="M931:M994" si="435">K931/I931*100</f>
        <v>31.62529433904152</v>
      </c>
    </row>
    <row r="932" spans="1:13">
      <c r="A932" s="64" t="s">
        <v>0</v>
      </c>
      <c r="B932" s="65" t="s">
        <v>0</v>
      </c>
      <c r="C932" s="58" t="s">
        <v>0</v>
      </c>
      <c r="D932" s="58" t="s">
        <v>0</v>
      </c>
      <c r="E932" s="58" t="s">
        <v>0</v>
      </c>
      <c r="F932" s="58" t="s">
        <v>0</v>
      </c>
      <c r="G932" s="66" t="s">
        <v>0</v>
      </c>
      <c r="H932" s="66" t="s">
        <v>0</v>
      </c>
      <c r="I932" s="66" t="s">
        <v>0</v>
      </c>
      <c r="J932" s="66" t="s">
        <v>0</v>
      </c>
      <c r="K932" s="66" t="s">
        <v>0</v>
      </c>
      <c r="L932" s="35"/>
      <c r="M932" s="35"/>
    </row>
    <row r="933" spans="1:13" ht="25.5">
      <c r="A933" s="73" t="s">
        <v>384</v>
      </c>
      <c r="B933" s="57" t="s">
        <v>385</v>
      </c>
      <c r="C933" s="58" t="s">
        <v>0</v>
      </c>
      <c r="D933" s="58" t="s">
        <v>0</v>
      </c>
      <c r="E933" s="58" t="s">
        <v>0</v>
      </c>
      <c r="F933" s="58" t="s">
        <v>0</v>
      </c>
      <c r="G933" s="30">
        <f>G934+G966+G1200</f>
        <v>17644956.400000002</v>
      </c>
      <c r="H933" s="30">
        <f>H934+H966+H1200</f>
        <v>17740046.370340001</v>
      </c>
      <c r="I933" s="30">
        <f>I934+I966+I1200</f>
        <v>13370020.31989</v>
      </c>
      <c r="J933" s="30">
        <f>J934+J966+J1200</f>
        <v>13370020.31989</v>
      </c>
      <c r="K933" s="30">
        <f>K934+K966+K1200</f>
        <v>12881454.654689997</v>
      </c>
      <c r="L933" s="30">
        <f t="shared" si="434"/>
        <v>72.612294160779669</v>
      </c>
      <c r="M933" s="30">
        <f t="shared" si="435"/>
        <v>96.345812096686316</v>
      </c>
    </row>
    <row r="934" spans="1:13">
      <c r="A934" s="59" t="s">
        <v>16</v>
      </c>
      <c r="B934" s="28" t="s">
        <v>385</v>
      </c>
      <c r="C934" s="28" t="s">
        <v>17</v>
      </c>
      <c r="D934" s="58" t="s">
        <v>0</v>
      </c>
      <c r="E934" s="58" t="s">
        <v>0</v>
      </c>
      <c r="F934" s="58" t="s">
        <v>0</v>
      </c>
      <c r="G934" s="35">
        <f>G947</f>
        <v>8890.7999999999993</v>
      </c>
      <c r="H934" s="35">
        <f>H947+H935</f>
        <v>9555.0540000000001</v>
      </c>
      <c r="I934" s="35">
        <f t="shared" ref="I934:K934" si="436">I947+I935</f>
        <v>8264.2540000000008</v>
      </c>
      <c r="J934" s="35">
        <f t="shared" si="436"/>
        <v>8264.2540000000008</v>
      </c>
      <c r="K934" s="35">
        <f t="shared" si="436"/>
        <v>8264.2540000000008</v>
      </c>
      <c r="L934" s="35">
        <f t="shared" si="434"/>
        <v>86.490918837298054</v>
      </c>
      <c r="M934" s="35">
        <f t="shared" si="435"/>
        <v>100</v>
      </c>
    </row>
    <row r="935" spans="1:13" ht="25.5">
      <c r="A935" s="62" t="s">
        <v>1131</v>
      </c>
      <c r="B935" s="28" t="s">
        <v>385</v>
      </c>
      <c r="C935" s="28" t="s">
        <v>17</v>
      </c>
      <c r="D935" s="28">
        <v>12</v>
      </c>
      <c r="E935" s="58"/>
      <c r="F935" s="58"/>
      <c r="G935" s="35"/>
      <c r="H935" s="35">
        <f>H936</f>
        <v>8890.7999999999993</v>
      </c>
      <c r="I935" s="35">
        <f t="shared" ref="I935:K935" si="437">I936</f>
        <v>7600</v>
      </c>
      <c r="J935" s="35">
        <f t="shared" si="437"/>
        <v>7600</v>
      </c>
      <c r="K935" s="35">
        <f t="shared" si="437"/>
        <v>7600</v>
      </c>
      <c r="L935" s="35">
        <f t="shared" si="434"/>
        <v>85.481621451387952</v>
      </c>
      <c r="M935" s="35">
        <f t="shared" si="435"/>
        <v>100</v>
      </c>
    </row>
    <row r="936" spans="1:13" ht="38.25">
      <c r="A936" s="59" t="s">
        <v>112</v>
      </c>
      <c r="B936" s="28" t="s">
        <v>385</v>
      </c>
      <c r="C936" s="28" t="s">
        <v>17</v>
      </c>
      <c r="D936" s="28">
        <v>12</v>
      </c>
      <c r="E936" s="28" t="s">
        <v>113</v>
      </c>
      <c r="F936" s="58"/>
      <c r="G936" s="35"/>
      <c r="H936" s="35">
        <f>H937+H943</f>
        <v>8890.7999999999993</v>
      </c>
      <c r="I936" s="35">
        <f t="shared" ref="I936:K936" si="438">I937+I943</f>
        <v>7600</v>
      </c>
      <c r="J936" s="35">
        <f t="shared" si="438"/>
        <v>7600</v>
      </c>
      <c r="K936" s="35">
        <f t="shared" si="438"/>
        <v>7600</v>
      </c>
      <c r="L936" s="35">
        <f t="shared" si="434"/>
        <v>85.481621451387952</v>
      </c>
      <c r="M936" s="35">
        <f t="shared" si="435"/>
        <v>100</v>
      </c>
    </row>
    <row r="937" spans="1:13" ht="25.5">
      <c r="A937" s="59" t="s">
        <v>388</v>
      </c>
      <c r="B937" s="28" t="s">
        <v>385</v>
      </c>
      <c r="C937" s="28" t="s">
        <v>17</v>
      </c>
      <c r="D937" s="28">
        <v>12</v>
      </c>
      <c r="E937" s="28" t="s">
        <v>389</v>
      </c>
      <c r="F937" s="58"/>
      <c r="G937" s="35"/>
      <c r="H937" s="35">
        <f>H938</f>
        <v>7500</v>
      </c>
      <c r="I937" s="35">
        <f t="shared" ref="I937:K938" si="439">I938</f>
        <v>7500</v>
      </c>
      <c r="J937" s="35">
        <f t="shared" si="439"/>
        <v>7500</v>
      </c>
      <c r="K937" s="35">
        <f t="shared" si="439"/>
        <v>7500</v>
      </c>
      <c r="L937" s="35">
        <f t="shared" si="434"/>
        <v>100</v>
      </c>
      <c r="M937" s="35">
        <f t="shared" si="435"/>
        <v>100</v>
      </c>
    </row>
    <row r="938" spans="1:13" ht="25.5">
      <c r="A938" s="59" t="s">
        <v>390</v>
      </c>
      <c r="B938" s="28" t="s">
        <v>385</v>
      </c>
      <c r="C938" s="28" t="s">
        <v>17</v>
      </c>
      <c r="D938" s="28">
        <v>12</v>
      </c>
      <c r="E938" s="28" t="s">
        <v>391</v>
      </c>
      <c r="F938" s="58" t="s">
        <v>0</v>
      </c>
      <c r="G938" s="35"/>
      <c r="H938" s="35">
        <f>H939</f>
        <v>7500</v>
      </c>
      <c r="I938" s="35">
        <f t="shared" si="439"/>
        <v>7500</v>
      </c>
      <c r="J938" s="35">
        <f t="shared" si="439"/>
        <v>7500</v>
      </c>
      <c r="K938" s="35">
        <f t="shared" si="439"/>
        <v>7500</v>
      </c>
      <c r="L938" s="35">
        <f t="shared" si="434"/>
        <v>100</v>
      </c>
      <c r="M938" s="35">
        <f t="shared" si="435"/>
        <v>100</v>
      </c>
    </row>
    <row r="939" spans="1:13" ht="25.5">
      <c r="A939" s="59" t="s">
        <v>80</v>
      </c>
      <c r="B939" s="28" t="s">
        <v>385</v>
      </c>
      <c r="C939" s="28" t="s">
        <v>17</v>
      </c>
      <c r="D939" s="28">
        <v>12</v>
      </c>
      <c r="E939" s="28" t="s">
        <v>391</v>
      </c>
      <c r="F939" s="28" t="s">
        <v>81</v>
      </c>
      <c r="G939" s="35"/>
      <c r="H939" s="35">
        <f>H940+H941+H942</f>
        <v>7500</v>
      </c>
      <c r="I939" s="35">
        <f t="shared" ref="I939:K939" si="440">I940+I941+I942</f>
        <v>7500</v>
      </c>
      <c r="J939" s="35">
        <f t="shared" si="440"/>
        <v>7500</v>
      </c>
      <c r="K939" s="35">
        <f t="shared" si="440"/>
        <v>7500</v>
      </c>
      <c r="L939" s="35">
        <f t="shared" si="434"/>
        <v>100</v>
      </c>
      <c r="M939" s="35">
        <f t="shared" si="435"/>
        <v>100</v>
      </c>
    </row>
    <row r="940" spans="1:13">
      <c r="A940" s="59" t="s">
        <v>271</v>
      </c>
      <c r="B940" s="28" t="s">
        <v>385</v>
      </c>
      <c r="C940" s="28" t="s">
        <v>17</v>
      </c>
      <c r="D940" s="28">
        <v>12</v>
      </c>
      <c r="E940" s="28" t="s">
        <v>391</v>
      </c>
      <c r="F940" s="28">
        <v>610</v>
      </c>
      <c r="G940" s="35"/>
      <c r="H940" s="35">
        <v>3352.85</v>
      </c>
      <c r="I940" s="35">
        <v>3352.85</v>
      </c>
      <c r="J940" s="35">
        <v>3352.85</v>
      </c>
      <c r="K940" s="35">
        <v>3352.85</v>
      </c>
      <c r="L940" s="35">
        <f t="shared" si="434"/>
        <v>100</v>
      </c>
      <c r="M940" s="35">
        <f t="shared" si="435"/>
        <v>100</v>
      </c>
    </row>
    <row r="941" spans="1:13">
      <c r="A941" s="59" t="s">
        <v>82</v>
      </c>
      <c r="B941" s="28" t="s">
        <v>385</v>
      </c>
      <c r="C941" s="28" t="s">
        <v>17</v>
      </c>
      <c r="D941" s="28">
        <v>12</v>
      </c>
      <c r="E941" s="28" t="s">
        <v>391</v>
      </c>
      <c r="F941" s="28">
        <v>620</v>
      </c>
      <c r="G941" s="35"/>
      <c r="H941" s="35">
        <v>3954.3</v>
      </c>
      <c r="I941" s="35">
        <v>3954.3</v>
      </c>
      <c r="J941" s="35">
        <v>3954.3</v>
      </c>
      <c r="K941" s="35">
        <v>3954.3</v>
      </c>
      <c r="L941" s="35">
        <f t="shared" si="434"/>
        <v>100</v>
      </c>
      <c r="M941" s="35">
        <f t="shared" si="435"/>
        <v>100</v>
      </c>
    </row>
    <row r="942" spans="1:13" ht="38.25">
      <c r="A942" s="59" t="s">
        <v>195</v>
      </c>
      <c r="B942" s="28" t="s">
        <v>385</v>
      </c>
      <c r="C942" s="28" t="s">
        <v>17</v>
      </c>
      <c r="D942" s="28">
        <v>12</v>
      </c>
      <c r="E942" s="28" t="s">
        <v>391</v>
      </c>
      <c r="F942" s="28" t="s">
        <v>196</v>
      </c>
      <c r="G942" s="35"/>
      <c r="H942" s="35">
        <v>192.85</v>
      </c>
      <c r="I942" s="35">
        <v>192.85</v>
      </c>
      <c r="J942" s="35">
        <v>192.85</v>
      </c>
      <c r="K942" s="35">
        <v>192.85</v>
      </c>
      <c r="L942" s="35">
        <f t="shared" si="434"/>
        <v>100</v>
      </c>
      <c r="M942" s="35">
        <f t="shared" si="435"/>
        <v>100</v>
      </c>
    </row>
    <row r="943" spans="1:13" ht="38.25">
      <c r="A943" s="59" t="s">
        <v>392</v>
      </c>
      <c r="B943" s="28" t="s">
        <v>385</v>
      </c>
      <c r="C943" s="28" t="s">
        <v>17</v>
      </c>
      <c r="D943" s="28">
        <v>12</v>
      </c>
      <c r="E943" s="28" t="s">
        <v>393</v>
      </c>
      <c r="F943" s="58" t="s">
        <v>0</v>
      </c>
      <c r="G943" s="35"/>
      <c r="H943" s="35">
        <f>H944</f>
        <v>1390.8</v>
      </c>
      <c r="I943" s="35">
        <f t="shared" ref="I943:K945" si="441">I944</f>
        <v>100</v>
      </c>
      <c r="J943" s="35">
        <f t="shared" si="441"/>
        <v>100</v>
      </c>
      <c r="K943" s="35">
        <f t="shared" si="441"/>
        <v>100</v>
      </c>
      <c r="L943" s="35">
        <f t="shared" si="434"/>
        <v>7.190106413574922</v>
      </c>
      <c r="M943" s="35">
        <f t="shared" si="435"/>
        <v>100</v>
      </c>
    </row>
    <row r="944" spans="1:13" ht="25.5">
      <c r="A944" s="59" t="s">
        <v>390</v>
      </c>
      <c r="B944" s="28" t="s">
        <v>385</v>
      </c>
      <c r="C944" s="28" t="s">
        <v>17</v>
      </c>
      <c r="D944" s="28">
        <v>12</v>
      </c>
      <c r="E944" s="28" t="s">
        <v>394</v>
      </c>
      <c r="F944" s="58" t="s">
        <v>0</v>
      </c>
      <c r="G944" s="35"/>
      <c r="H944" s="35">
        <f>H945</f>
        <v>1390.8</v>
      </c>
      <c r="I944" s="35">
        <f t="shared" si="441"/>
        <v>100</v>
      </c>
      <c r="J944" s="35">
        <f t="shared" si="441"/>
        <v>100</v>
      </c>
      <c r="K944" s="35">
        <f t="shared" si="441"/>
        <v>100</v>
      </c>
      <c r="L944" s="35">
        <f t="shared" si="434"/>
        <v>7.190106413574922</v>
      </c>
      <c r="M944" s="35">
        <f t="shared" si="435"/>
        <v>100</v>
      </c>
    </row>
    <row r="945" spans="1:13" ht="25.5">
      <c r="A945" s="59" t="s">
        <v>80</v>
      </c>
      <c r="B945" s="28" t="s">
        <v>385</v>
      </c>
      <c r="C945" s="28" t="s">
        <v>17</v>
      </c>
      <c r="D945" s="28">
        <v>12</v>
      </c>
      <c r="E945" s="28" t="s">
        <v>394</v>
      </c>
      <c r="F945" s="28" t="s">
        <v>81</v>
      </c>
      <c r="G945" s="35"/>
      <c r="H945" s="35">
        <f>H946</f>
        <v>1390.8</v>
      </c>
      <c r="I945" s="35">
        <f t="shared" si="441"/>
        <v>100</v>
      </c>
      <c r="J945" s="35">
        <f t="shared" si="441"/>
        <v>100</v>
      </c>
      <c r="K945" s="35">
        <f t="shared" si="441"/>
        <v>100</v>
      </c>
      <c r="L945" s="35">
        <f t="shared" si="434"/>
        <v>7.190106413574922</v>
      </c>
      <c r="M945" s="35">
        <f t="shared" si="435"/>
        <v>100</v>
      </c>
    </row>
    <row r="946" spans="1:13">
      <c r="A946" s="59" t="s">
        <v>271</v>
      </c>
      <c r="B946" s="28" t="s">
        <v>385</v>
      </c>
      <c r="C946" s="28" t="s">
        <v>17</v>
      </c>
      <c r="D946" s="28">
        <v>12</v>
      </c>
      <c r="E946" s="28" t="s">
        <v>394</v>
      </c>
      <c r="F946" s="28" t="s">
        <v>272</v>
      </c>
      <c r="G946" s="35"/>
      <c r="H946" s="35">
        <v>1390.8</v>
      </c>
      <c r="I946" s="35">
        <v>100</v>
      </c>
      <c r="J946" s="35">
        <v>100</v>
      </c>
      <c r="K946" s="35">
        <v>100</v>
      </c>
      <c r="L946" s="35">
        <f t="shared" si="434"/>
        <v>7.190106413574922</v>
      </c>
      <c r="M946" s="35">
        <f t="shared" si="435"/>
        <v>100</v>
      </c>
    </row>
    <row r="947" spans="1:13">
      <c r="A947" s="59" t="s">
        <v>386</v>
      </c>
      <c r="B947" s="28" t="s">
        <v>385</v>
      </c>
      <c r="C947" s="28" t="s">
        <v>17</v>
      </c>
      <c r="D947" s="28" t="s">
        <v>387</v>
      </c>
      <c r="E947" s="58" t="s">
        <v>0</v>
      </c>
      <c r="F947" s="58" t="s">
        <v>0</v>
      </c>
      <c r="G947" s="35">
        <f>G948</f>
        <v>8890.7999999999993</v>
      </c>
      <c r="H947" s="35">
        <f>H948+H959</f>
        <v>664.25399999999991</v>
      </c>
      <c r="I947" s="35">
        <f t="shared" ref="I947:K947" si="442">I948+I959</f>
        <v>664.25399999999991</v>
      </c>
      <c r="J947" s="35">
        <f t="shared" si="442"/>
        <v>664.25399999999991</v>
      </c>
      <c r="K947" s="35">
        <f t="shared" si="442"/>
        <v>664.25399999999991</v>
      </c>
      <c r="L947" s="35">
        <f t="shared" si="434"/>
        <v>100</v>
      </c>
      <c r="M947" s="35">
        <f t="shared" si="435"/>
        <v>100</v>
      </c>
    </row>
    <row r="948" spans="1:13" ht="38.25">
      <c r="A948" s="59" t="s">
        <v>112</v>
      </c>
      <c r="B948" s="28" t="s">
        <v>385</v>
      </c>
      <c r="C948" s="28" t="s">
        <v>17</v>
      </c>
      <c r="D948" s="28" t="s">
        <v>387</v>
      </c>
      <c r="E948" s="28" t="s">
        <v>113</v>
      </c>
      <c r="F948" s="58" t="s">
        <v>0</v>
      </c>
      <c r="G948" s="35">
        <f>G949+G955</f>
        <v>8890.7999999999993</v>
      </c>
      <c r="H948" s="35">
        <f t="shared" ref="H948:K948" si="443">H949+H955</f>
        <v>0</v>
      </c>
      <c r="I948" s="35">
        <f t="shared" si="443"/>
        <v>0</v>
      </c>
      <c r="J948" s="35">
        <f t="shared" si="443"/>
        <v>0</v>
      </c>
      <c r="K948" s="35">
        <f t="shared" si="443"/>
        <v>0</v>
      </c>
      <c r="L948" s="35">
        <v>0</v>
      </c>
      <c r="M948" s="35">
        <v>0</v>
      </c>
    </row>
    <row r="949" spans="1:13" ht="25.5">
      <c r="A949" s="59" t="s">
        <v>388</v>
      </c>
      <c r="B949" s="28" t="s">
        <v>385</v>
      </c>
      <c r="C949" s="28" t="s">
        <v>17</v>
      </c>
      <c r="D949" s="28" t="s">
        <v>387</v>
      </c>
      <c r="E949" s="28" t="s">
        <v>389</v>
      </c>
      <c r="F949" s="58" t="s">
        <v>0</v>
      </c>
      <c r="G949" s="35">
        <f>G950</f>
        <v>7500</v>
      </c>
      <c r="H949" s="35">
        <f t="shared" ref="H949:K950" si="444">H950</f>
        <v>0</v>
      </c>
      <c r="I949" s="35">
        <f t="shared" si="444"/>
        <v>0</v>
      </c>
      <c r="J949" s="35">
        <f t="shared" si="444"/>
        <v>0</v>
      </c>
      <c r="K949" s="35">
        <f t="shared" si="444"/>
        <v>0</v>
      </c>
      <c r="L949" s="35">
        <v>0</v>
      </c>
      <c r="M949" s="35">
        <v>0</v>
      </c>
    </row>
    <row r="950" spans="1:13" ht="25.5">
      <c r="A950" s="59" t="s">
        <v>390</v>
      </c>
      <c r="B950" s="28" t="s">
        <v>385</v>
      </c>
      <c r="C950" s="28" t="s">
        <v>17</v>
      </c>
      <c r="D950" s="28" t="s">
        <v>387</v>
      </c>
      <c r="E950" s="28" t="s">
        <v>391</v>
      </c>
      <c r="F950" s="58" t="s">
        <v>0</v>
      </c>
      <c r="G950" s="35">
        <f>G951</f>
        <v>7500</v>
      </c>
      <c r="H950" s="35">
        <f t="shared" si="444"/>
        <v>0</v>
      </c>
      <c r="I950" s="35">
        <f t="shared" si="444"/>
        <v>0</v>
      </c>
      <c r="J950" s="35">
        <f t="shared" si="444"/>
        <v>0</v>
      </c>
      <c r="K950" s="35">
        <f t="shared" si="444"/>
        <v>0</v>
      </c>
      <c r="L950" s="35">
        <v>0</v>
      </c>
      <c r="M950" s="35">
        <v>0</v>
      </c>
    </row>
    <row r="951" spans="1:13" ht="25.5">
      <c r="A951" s="59" t="s">
        <v>80</v>
      </c>
      <c r="B951" s="28" t="s">
        <v>385</v>
      </c>
      <c r="C951" s="28" t="s">
        <v>17</v>
      </c>
      <c r="D951" s="28" t="s">
        <v>387</v>
      </c>
      <c r="E951" s="28" t="s">
        <v>391</v>
      </c>
      <c r="F951" s="28" t="s">
        <v>81</v>
      </c>
      <c r="G951" s="35">
        <f>G954</f>
        <v>7500</v>
      </c>
      <c r="H951" s="35">
        <f>H954</f>
        <v>0</v>
      </c>
      <c r="I951" s="35">
        <f>I954</f>
        <v>0</v>
      </c>
      <c r="J951" s="35">
        <f>J954</f>
        <v>0</v>
      </c>
      <c r="K951" s="35">
        <f>K954</f>
        <v>0</v>
      </c>
      <c r="L951" s="35">
        <v>0</v>
      </c>
      <c r="M951" s="35">
        <v>0</v>
      </c>
    </row>
    <row r="952" spans="1:13" hidden="1">
      <c r="A952" s="59" t="s">
        <v>271</v>
      </c>
      <c r="B952" s="28" t="s">
        <v>385</v>
      </c>
      <c r="C952" s="28" t="s">
        <v>17</v>
      </c>
      <c r="D952" s="28" t="s">
        <v>387</v>
      </c>
      <c r="E952" s="28" t="s">
        <v>391</v>
      </c>
      <c r="F952" s="28">
        <v>610</v>
      </c>
      <c r="G952" s="35"/>
      <c r="H952" s="35"/>
      <c r="I952" s="35"/>
      <c r="J952" s="35"/>
      <c r="K952" s="35"/>
      <c r="L952" s="35" t="e">
        <f t="shared" si="434"/>
        <v>#DIV/0!</v>
      </c>
      <c r="M952" s="35" t="e">
        <f t="shared" si="435"/>
        <v>#DIV/0!</v>
      </c>
    </row>
    <row r="953" spans="1:13" hidden="1">
      <c r="A953" s="59" t="s">
        <v>82</v>
      </c>
      <c r="B953" s="28" t="s">
        <v>385</v>
      </c>
      <c r="C953" s="28" t="s">
        <v>17</v>
      </c>
      <c r="D953" s="28" t="s">
        <v>387</v>
      </c>
      <c r="E953" s="28" t="s">
        <v>391</v>
      </c>
      <c r="F953" s="28">
        <v>620</v>
      </c>
      <c r="G953" s="35"/>
      <c r="H953" s="35"/>
      <c r="I953" s="35"/>
      <c r="J953" s="35"/>
      <c r="K953" s="35"/>
      <c r="L953" s="35" t="e">
        <f t="shared" si="434"/>
        <v>#DIV/0!</v>
      </c>
      <c r="M953" s="35" t="e">
        <f t="shared" si="435"/>
        <v>#DIV/0!</v>
      </c>
    </row>
    <row r="954" spans="1:13" ht="38.25">
      <c r="A954" s="59" t="s">
        <v>195</v>
      </c>
      <c r="B954" s="28" t="s">
        <v>385</v>
      </c>
      <c r="C954" s="28" t="s">
        <v>17</v>
      </c>
      <c r="D954" s="28" t="s">
        <v>387</v>
      </c>
      <c r="E954" s="28" t="s">
        <v>391</v>
      </c>
      <c r="F954" s="28" t="s">
        <v>196</v>
      </c>
      <c r="G954" s="35">
        <v>7500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  <c r="M954" s="35">
        <v>0</v>
      </c>
    </row>
    <row r="955" spans="1:13" ht="38.25">
      <c r="A955" s="59" t="s">
        <v>392</v>
      </c>
      <c r="B955" s="28" t="s">
        <v>385</v>
      </c>
      <c r="C955" s="28" t="s">
        <v>17</v>
      </c>
      <c r="D955" s="28" t="s">
        <v>387</v>
      </c>
      <c r="E955" s="28" t="s">
        <v>393</v>
      </c>
      <c r="F955" s="58" t="s">
        <v>0</v>
      </c>
      <c r="G955" s="35">
        <f>G956</f>
        <v>1390.8</v>
      </c>
      <c r="H955" s="35">
        <f t="shared" ref="H955:K957" si="445">H956</f>
        <v>0</v>
      </c>
      <c r="I955" s="35">
        <f t="shared" si="445"/>
        <v>0</v>
      </c>
      <c r="J955" s="35">
        <f t="shared" si="445"/>
        <v>0</v>
      </c>
      <c r="K955" s="35">
        <f t="shared" si="445"/>
        <v>0</v>
      </c>
      <c r="L955" s="35">
        <v>0</v>
      </c>
      <c r="M955" s="35">
        <v>0</v>
      </c>
    </row>
    <row r="956" spans="1:13" ht="25.5">
      <c r="A956" s="59" t="s">
        <v>390</v>
      </c>
      <c r="B956" s="28" t="s">
        <v>385</v>
      </c>
      <c r="C956" s="28" t="s">
        <v>17</v>
      </c>
      <c r="D956" s="28" t="s">
        <v>387</v>
      </c>
      <c r="E956" s="28" t="s">
        <v>394</v>
      </c>
      <c r="F956" s="58" t="s">
        <v>0</v>
      </c>
      <c r="G956" s="35">
        <f>G957</f>
        <v>1390.8</v>
      </c>
      <c r="H956" s="35">
        <f t="shared" si="445"/>
        <v>0</v>
      </c>
      <c r="I956" s="35">
        <f t="shared" si="445"/>
        <v>0</v>
      </c>
      <c r="J956" s="35">
        <f t="shared" si="445"/>
        <v>0</v>
      </c>
      <c r="K956" s="35">
        <f t="shared" si="445"/>
        <v>0</v>
      </c>
      <c r="L956" s="35">
        <v>0</v>
      </c>
      <c r="M956" s="35">
        <v>0</v>
      </c>
    </row>
    <row r="957" spans="1:13" ht="25.5">
      <c r="A957" s="59" t="s">
        <v>80</v>
      </c>
      <c r="B957" s="28" t="s">
        <v>385</v>
      </c>
      <c r="C957" s="28" t="s">
        <v>17</v>
      </c>
      <c r="D957" s="28" t="s">
        <v>387</v>
      </c>
      <c r="E957" s="28" t="s">
        <v>394</v>
      </c>
      <c r="F957" s="28" t="s">
        <v>81</v>
      </c>
      <c r="G957" s="35">
        <f>G958</f>
        <v>1390.8</v>
      </c>
      <c r="H957" s="35">
        <f>H958</f>
        <v>0</v>
      </c>
      <c r="I957" s="35">
        <f t="shared" si="445"/>
        <v>0</v>
      </c>
      <c r="J957" s="35">
        <f t="shared" si="445"/>
        <v>0</v>
      </c>
      <c r="K957" s="35">
        <f t="shared" si="445"/>
        <v>0</v>
      </c>
      <c r="L957" s="35">
        <v>0</v>
      </c>
      <c r="M957" s="35">
        <v>0</v>
      </c>
    </row>
    <row r="958" spans="1:13">
      <c r="A958" s="59" t="s">
        <v>271</v>
      </c>
      <c r="B958" s="28" t="s">
        <v>385</v>
      </c>
      <c r="C958" s="28" t="s">
        <v>17</v>
      </c>
      <c r="D958" s="28" t="s">
        <v>387</v>
      </c>
      <c r="E958" s="28" t="s">
        <v>394</v>
      </c>
      <c r="F958" s="28" t="s">
        <v>272</v>
      </c>
      <c r="G958" s="35">
        <v>1390.8</v>
      </c>
      <c r="H958" s="35">
        <v>0</v>
      </c>
      <c r="I958" s="35">
        <v>0</v>
      </c>
      <c r="J958" s="35">
        <v>0</v>
      </c>
      <c r="K958" s="35">
        <v>0</v>
      </c>
      <c r="L958" s="35">
        <v>0</v>
      </c>
      <c r="M958" s="35">
        <v>0</v>
      </c>
    </row>
    <row r="959" spans="1:13" ht="45" customHeight="1">
      <c r="A959" s="69" t="s">
        <v>1120</v>
      </c>
      <c r="B959" s="28" t="s">
        <v>385</v>
      </c>
      <c r="C959" s="28" t="s">
        <v>17</v>
      </c>
      <c r="D959" s="28" t="s">
        <v>387</v>
      </c>
      <c r="E959" s="29" t="s">
        <v>1117</v>
      </c>
      <c r="F959" s="28"/>
      <c r="G959" s="35"/>
      <c r="H959" s="35">
        <f>H960</f>
        <v>664.25399999999991</v>
      </c>
      <c r="I959" s="35">
        <f t="shared" ref="I959:K961" si="446">I960</f>
        <v>664.25399999999991</v>
      </c>
      <c r="J959" s="35">
        <f t="shared" si="446"/>
        <v>664.25399999999991</v>
      </c>
      <c r="K959" s="35">
        <f t="shared" si="446"/>
        <v>664.25399999999991</v>
      </c>
      <c r="L959" s="35">
        <f t="shared" si="434"/>
        <v>100</v>
      </c>
      <c r="M959" s="35">
        <f t="shared" si="435"/>
        <v>100</v>
      </c>
    </row>
    <row r="960" spans="1:13" ht="65.25" customHeight="1">
      <c r="A960" s="59" t="s">
        <v>1134</v>
      </c>
      <c r="B960" s="28" t="s">
        <v>385</v>
      </c>
      <c r="C960" s="28" t="s">
        <v>17</v>
      </c>
      <c r="D960" s="28" t="s">
        <v>387</v>
      </c>
      <c r="E960" s="29" t="s">
        <v>1132</v>
      </c>
      <c r="F960" s="28"/>
      <c r="G960" s="35"/>
      <c r="H960" s="35">
        <f>H961</f>
        <v>664.25399999999991</v>
      </c>
      <c r="I960" s="35">
        <f t="shared" si="446"/>
        <v>664.25399999999991</v>
      </c>
      <c r="J960" s="35">
        <f t="shared" si="446"/>
        <v>664.25399999999991</v>
      </c>
      <c r="K960" s="35">
        <f t="shared" si="446"/>
        <v>664.25399999999991</v>
      </c>
      <c r="L960" s="35">
        <f t="shared" si="434"/>
        <v>100</v>
      </c>
      <c r="M960" s="35">
        <f t="shared" si="435"/>
        <v>100</v>
      </c>
    </row>
    <row r="961" spans="1:13" ht="60" customHeight="1">
      <c r="A961" s="59" t="s">
        <v>1135</v>
      </c>
      <c r="B961" s="28" t="s">
        <v>385</v>
      </c>
      <c r="C961" s="28" t="s">
        <v>17</v>
      </c>
      <c r="D961" s="28" t="s">
        <v>387</v>
      </c>
      <c r="E961" s="29" t="s">
        <v>1133</v>
      </c>
      <c r="F961" s="28"/>
      <c r="G961" s="35"/>
      <c r="H961" s="35">
        <f>H962</f>
        <v>664.25399999999991</v>
      </c>
      <c r="I961" s="35">
        <f t="shared" si="446"/>
        <v>664.25399999999991</v>
      </c>
      <c r="J961" s="35">
        <f t="shared" si="446"/>
        <v>664.25399999999991</v>
      </c>
      <c r="K961" s="35">
        <f t="shared" si="446"/>
        <v>664.25399999999991</v>
      </c>
      <c r="L961" s="35">
        <f t="shared" si="434"/>
        <v>100</v>
      </c>
      <c r="M961" s="35">
        <f t="shared" si="435"/>
        <v>100</v>
      </c>
    </row>
    <row r="962" spans="1:13" ht="25.5">
      <c r="A962" s="59" t="s">
        <v>80</v>
      </c>
      <c r="B962" s="28" t="s">
        <v>385</v>
      </c>
      <c r="C962" s="28" t="s">
        <v>17</v>
      </c>
      <c r="D962" s="28" t="s">
        <v>387</v>
      </c>
      <c r="E962" s="29" t="s">
        <v>1133</v>
      </c>
      <c r="F962" s="28">
        <v>600</v>
      </c>
      <c r="G962" s="61" t="s">
        <v>0</v>
      </c>
      <c r="H962" s="35">
        <f>H963+H964</f>
        <v>664.25399999999991</v>
      </c>
      <c r="I962" s="35">
        <f t="shared" ref="I962:K962" si="447">I963+I964</f>
        <v>664.25399999999991</v>
      </c>
      <c r="J962" s="35">
        <f t="shared" si="447"/>
        <v>664.25399999999991</v>
      </c>
      <c r="K962" s="35">
        <f t="shared" si="447"/>
        <v>664.25399999999991</v>
      </c>
      <c r="L962" s="35">
        <f t="shared" si="434"/>
        <v>100</v>
      </c>
      <c r="M962" s="35">
        <f t="shared" si="435"/>
        <v>100</v>
      </c>
    </row>
    <row r="963" spans="1:13">
      <c r="A963" s="59" t="s">
        <v>271</v>
      </c>
      <c r="B963" s="28" t="s">
        <v>385</v>
      </c>
      <c r="C963" s="28" t="s">
        <v>17</v>
      </c>
      <c r="D963" s="28" t="s">
        <v>387</v>
      </c>
      <c r="E963" s="29" t="s">
        <v>1133</v>
      </c>
      <c r="F963" s="58">
        <v>610</v>
      </c>
      <c r="G963" s="61"/>
      <c r="H963" s="61">
        <v>159.88999999999999</v>
      </c>
      <c r="I963" s="61">
        <v>159.88999999999999</v>
      </c>
      <c r="J963" s="61">
        <v>159.88999999999999</v>
      </c>
      <c r="K963" s="61">
        <v>159.88999999999999</v>
      </c>
      <c r="L963" s="35">
        <f t="shared" si="434"/>
        <v>100</v>
      </c>
      <c r="M963" s="35">
        <f t="shared" si="435"/>
        <v>100</v>
      </c>
    </row>
    <row r="964" spans="1:13">
      <c r="A964" s="59" t="s">
        <v>82</v>
      </c>
      <c r="B964" s="28" t="s">
        <v>385</v>
      </c>
      <c r="C964" s="28" t="s">
        <v>17</v>
      </c>
      <c r="D964" s="28" t="s">
        <v>387</v>
      </c>
      <c r="E964" s="29" t="s">
        <v>1133</v>
      </c>
      <c r="F964" s="58">
        <v>620</v>
      </c>
      <c r="G964" s="61"/>
      <c r="H964" s="61">
        <v>504.36399999999998</v>
      </c>
      <c r="I964" s="61">
        <v>504.36399999999998</v>
      </c>
      <c r="J964" s="61">
        <v>504.36399999999998</v>
      </c>
      <c r="K964" s="61">
        <v>504.36399999999998</v>
      </c>
      <c r="L964" s="35">
        <f t="shared" si="434"/>
        <v>100</v>
      </c>
      <c r="M964" s="35">
        <f t="shared" si="435"/>
        <v>100</v>
      </c>
    </row>
    <row r="965" spans="1:13">
      <c r="A965" s="60"/>
      <c r="B965" s="28"/>
      <c r="C965" s="28"/>
      <c r="D965" s="28"/>
      <c r="E965" s="58"/>
      <c r="F965" s="58"/>
      <c r="G965" s="61"/>
      <c r="H965" s="61"/>
      <c r="I965" s="61"/>
      <c r="J965" s="61"/>
      <c r="K965" s="61"/>
      <c r="L965" s="35"/>
      <c r="M965" s="35"/>
    </row>
    <row r="966" spans="1:13">
      <c r="A966" s="59" t="s">
        <v>109</v>
      </c>
      <c r="B966" s="28" t="s">
        <v>385</v>
      </c>
      <c r="C966" s="28" t="s">
        <v>110</v>
      </c>
      <c r="D966" s="58" t="s">
        <v>0</v>
      </c>
      <c r="E966" s="58" t="s">
        <v>0</v>
      </c>
      <c r="F966" s="58" t="s">
        <v>0</v>
      </c>
      <c r="G966" s="35">
        <f>G972+G1018+G1042+G1051+G1058+G1068</f>
        <v>16453696</v>
      </c>
      <c r="H966" s="35">
        <f>H972+H1018+H1042+H1051+H1058+H1068+H967</f>
        <v>16548121.761700001</v>
      </c>
      <c r="I966" s="35">
        <f t="shared" ref="I966:K966" si="448">I972+I1018+I1042+I1051+I1058+I1068+I967</f>
        <v>12508543.596369999</v>
      </c>
      <c r="J966" s="35">
        <f t="shared" si="448"/>
        <v>12508543.596369999</v>
      </c>
      <c r="K966" s="35">
        <f t="shared" si="448"/>
        <v>12059684.825969998</v>
      </c>
      <c r="L966" s="35">
        <f t="shared" si="434"/>
        <v>72.876456915380444</v>
      </c>
      <c r="M966" s="35">
        <f t="shared" si="435"/>
        <v>96.411582476074514</v>
      </c>
    </row>
    <row r="967" spans="1:13">
      <c r="A967" s="62" t="s">
        <v>111</v>
      </c>
      <c r="B967" s="28" t="s">
        <v>385</v>
      </c>
      <c r="C967" s="28" t="s">
        <v>110</v>
      </c>
      <c r="D967" s="28" t="s">
        <v>17</v>
      </c>
      <c r="E967" s="58"/>
      <c r="F967" s="58"/>
      <c r="G967" s="35"/>
      <c r="H967" s="35">
        <f>H968</f>
        <v>1941.91335</v>
      </c>
      <c r="I967" s="35">
        <f t="shared" ref="I967:K970" si="449">I968</f>
        <v>1941.91335</v>
      </c>
      <c r="J967" s="35">
        <f t="shared" si="449"/>
        <v>1941.91335</v>
      </c>
      <c r="K967" s="35">
        <f t="shared" si="449"/>
        <v>1941.91335</v>
      </c>
      <c r="L967" s="35">
        <f t="shared" si="434"/>
        <v>100</v>
      </c>
      <c r="M967" s="35">
        <f t="shared" si="435"/>
        <v>100</v>
      </c>
    </row>
    <row r="968" spans="1:13">
      <c r="A968" s="62" t="s">
        <v>612</v>
      </c>
      <c r="B968" s="28" t="s">
        <v>385</v>
      </c>
      <c r="C968" s="28" t="s">
        <v>110</v>
      </c>
      <c r="D968" s="28" t="s">
        <v>17</v>
      </c>
      <c r="E968" s="29" t="s">
        <v>613</v>
      </c>
      <c r="F968" s="58"/>
      <c r="G968" s="35"/>
      <c r="H968" s="35">
        <f>H969</f>
        <v>1941.91335</v>
      </c>
      <c r="I968" s="35">
        <f t="shared" si="449"/>
        <v>1941.91335</v>
      </c>
      <c r="J968" s="35">
        <f t="shared" si="449"/>
        <v>1941.91335</v>
      </c>
      <c r="K968" s="35">
        <f t="shared" si="449"/>
        <v>1941.91335</v>
      </c>
      <c r="L968" s="35">
        <f t="shared" si="434"/>
        <v>100</v>
      </c>
      <c r="M968" s="35">
        <f t="shared" si="435"/>
        <v>100</v>
      </c>
    </row>
    <row r="969" spans="1:13">
      <c r="A969" s="59" t="s">
        <v>612</v>
      </c>
      <c r="B969" s="28" t="s">
        <v>385</v>
      </c>
      <c r="C969" s="28" t="s">
        <v>110</v>
      </c>
      <c r="D969" s="28" t="s">
        <v>17</v>
      </c>
      <c r="E969" s="29" t="s">
        <v>614</v>
      </c>
      <c r="F969" s="58"/>
      <c r="G969" s="35"/>
      <c r="H969" s="35">
        <f>H970</f>
        <v>1941.91335</v>
      </c>
      <c r="I969" s="35">
        <f t="shared" si="449"/>
        <v>1941.91335</v>
      </c>
      <c r="J969" s="35">
        <f t="shared" si="449"/>
        <v>1941.91335</v>
      </c>
      <c r="K969" s="35">
        <f t="shared" si="449"/>
        <v>1941.91335</v>
      </c>
      <c r="L969" s="35">
        <f t="shared" si="434"/>
        <v>100</v>
      </c>
      <c r="M969" s="35">
        <f t="shared" si="435"/>
        <v>100</v>
      </c>
    </row>
    <row r="970" spans="1:13">
      <c r="A970" s="59" t="s">
        <v>26</v>
      </c>
      <c r="B970" s="28" t="s">
        <v>385</v>
      </c>
      <c r="C970" s="28" t="s">
        <v>110</v>
      </c>
      <c r="D970" s="28" t="s">
        <v>17</v>
      </c>
      <c r="E970" s="29" t="s">
        <v>614</v>
      </c>
      <c r="F970" s="58">
        <v>500</v>
      </c>
      <c r="G970" s="35"/>
      <c r="H970" s="35">
        <f>H971</f>
        <v>1941.91335</v>
      </c>
      <c r="I970" s="35">
        <f t="shared" si="449"/>
        <v>1941.91335</v>
      </c>
      <c r="J970" s="35">
        <f t="shared" si="449"/>
        <v>1941.91335</v>
      </c>
      <c r="K970" s="35">
        <f t="shared" si="449"/>
        <v>1941.91335</v>
      </c>
      <c r="L970" s="35">
        <f t="shared" si="434"/>
        <v>100</v>
      </c>
      <c r="M970" s="35">
        <f t="shared" si="435"/>
        <v>100</v>
      </c>
    </row>
    <row r="971" spans="1:13">
      <c r="A971" s="62" t="s">
        <v>352</v>
      </c>
      <c r="B971" s="28" t="s">
        <v>385</v>
      </c>
      <c r="C971" s="28" t="s">
        <v>110</v>
      </c>
      <c r="D971" s="28" t="s">
        <v>17</v>
      </c>
      <c r="E971" s="29" t="s">
        <v>614</v>
      </c>
      <c r="F971" s="58">
        <v>540</v>
      </c>
      <c r="G971" s="35"/>
      <c r="H971" s="35">
        <v>1941.91335</v>
      </c>
      <c r="I971" s="35">
        <v>1941.91335</v>
      </c>
      <c r="J971" s="35">
        <v>1941.91335</v>
      </c>
      <c r="K971" s="35">
        <v>1941.91335</v>
      </c>
      <c r="L971" s="35">
        <f t="shared" si="434"/>
        <v>100</v>
      </c>
      <c r="M971" s="35">
        <f t="shared" si="435"/>
        <v>100</v>
      </c>
    </row>
    <row r="972" spans="1:13">
      <c r="A972" s="59" t="s">
        <v>119</v>
      </c>
      <c r="B972" s="28" t="s">
        <v>385</v>
      </c>
      <c r="C972" s="28" t="s">
        <v>110</v>
      </c>
      <c r="D972" s="28" t="s">
        <v>106</v>
      </c>
      <c r="E972" s="58" t="s">
        <v>0</v>
      </c>
      <c r="F972" s="58" t="s">
        <v>0</v>
      </c>
      <c r="G972" s="35">
        <f>G973</f>
        <v>13597710.9</v>
      </c>
      <c r="H972" s="35">
        <f>H973+H1012</f>
        <v>13644037.176620001</v>
      </c>
      <c r="I972" s="35">
        <f t="shared" ref="I972" si="450">I973+I1012</f>
        <v>10375112.626639999</v>
      </c>
      <c r="J972" s="35">
        <f t="shared" ref="J972:K972" si="451">J973+J1012</f>
        <v>10375112.626639999</v>
      </c>
      <c r="K972" s="35">
        <f t="shared" si="451"/>
        <v>9939375.0813699979</v>
      </c>
      <c r="L972" s="35">
        <f t="shared" si="434"/>
        <v>72.847757248872085</v>
      </c>
      <c r="M972" s="35">
        <f t="shared" si="435"/>
        <v>95.800165637227238</v>
      </c>
    </row>
    <row r="973" spans="1:13" ht="38.25">
      <c r="A973" s="59" t="s">
        <v>112</v>
      </c>
      <c r="B973" s="28" t="s">
        <v>385</v>
      </c>
      <c r="C973" s="28" t="s">
        <v>110</v>
      </c>
      <c r="D973" s="28" t="s">
        <v>106</v>
      </c>
      <c r="E973" s="28" t="s">
        <v>113</v>
      </c>
      <c r="F973" s="58" t="s">
        <v>0</v>
      </c>
      <c r="G973" s="35">
        <f>G974+G987+G991+G999</f>
        <v>13597710.9</v>
      </c>
      <c r="H973" s="35">
        <f>H974+H987+H991+H999+H995</f>
        <v>13627519.908000002</v>
      </c>
      <c r="I973" s="35">
        <f t="shared" ref="I973" si="452">I974+I987+I991+I999+I995</f>
        <v>10358595.35802</v>
      </c>
      <c r="J973" s="35">
        <f t="shared" ref="J973:K973" si="453">J974+J987+J991+J999+J995</f>
        <v>10358595.35802</v>
      </c>
      <c r="K973" s="35">
        <f t="shared" si="453"/>
        <v>9922857.8127499986</v>
      </c>
      <c r="L973" s="35">
        <f t="shared" si="434"/>
        <v>72.814847307064355</v>
      </c>
      <c r="M973" s="35">
        <f t="shared" si="435"/>
        <v>95.793468803348532</v>
      </c>
    </row>
    <row r="974" spans="1:13" ht="25.5">
      <c r="A974" s="59" t="s">
        <v>395</v>
      </c>
      <c r="B974" s="28" t="s">
        <v>385</v>
      </c>
      <c r="C974" s="28" t="s">
        <v>110</v>
      </c>
      <c r="D974" s="28" t="s">
        <v>106</v>
      </c>
      <c r="E974" s="28" t="s">
        <v>396</v>
      </c>
      <c r="F974" s="58" t="s">
        <v>0</v>
      </c>
      <c r="G974" s="35">
        <f>G978+G984+G981+G975</f>
        <v>12079482.9</v>
      </c>
      <c r="H974" s="35">
        <f t="shared" ref="H974:K974" si="454">H978+H984+H981+H975</f>
        <v>12079482.9</v>
      </c>
      <c r="I974" s="35">
        <f t="shared" si="454"/>
        <v>9209902.0899999999</v>
      </c>
      <c r="J974" s="35">
        <f t="shared" si="454"/>
        <v>9209902.0899999999</v>
      </c>
      <c r="K974" s="35">
        <f t="shared" si="454"/>
        <v>8774297.1711599994</v>
      </c>
      <c r="L974" s="35">
        <f t="shared" si="434"/>
        <v>72.638019721523008</v>
      </c>
      <c r="M974" s="35">
        <f t="shared" si="435"/>
        <v>95.27025461744077</v>
      </c>
    </row>
    <row r="975" spans="1:13" s="89" customFormat="1" ht="38.25">
      <c r="A975" s="62" t="s">
        <v>1225</v>
      </c>
      <c r="B975" s="28" t="s">
        <v>385</v>
      </c>
      <c r="C975" s="28" t="s">
        <v>110</v>
      </c>
      <c r="D975" s="28" t="s">
        <v>106</v>
      </c>
      <c r="E975" s="28" t="s">
        <v>1251</v>
      </c>
      <c r="F975" s="28"/>
      <c r="G975" s="35">
        <f>G976</f>
        <v>152133.4</v>
      </c>
      <c r="H975" s="35">
        <f t="shared" ref="H975:K976" si="455">H976</f>
        <v>152133.4</v>
      </c>
      <c r="I975" s="35">
        <f t="shared" si="455"/>
        <v>0</v>
      </c>
      <c r="J975" s="35">
        <f t="shared" si="455"/>
        <v>0</v>
      </c>
      <c r="K975" s="35">
        <f t="shared" si="455"/>
        <v>0</v>
      </c>
      <c r="L975" s="35">
        <f t="shared" si="434"/>
        <v>0</v>
      </c>
      <c r="M975" s="35">
        <v>0</v>
      </c>
    </row>
    <row r="976" spans="1:13" s="89" customFormat="1" ht="25.5">
      <c r="A976" s="59" t="s">
        <v>64</v>
      </c>
      <c r="B976" s="28" t="s">
        <v>385</v>
      </c>
      <c r="C976" s="28" t="s">
        <v>110</v>
      </c>
      <c r="D976" s="28" t="s">
        <v>106</v>
      </c>
      <c r="E976" s="28" t="s">
        <v>1251</v>
      </c>
      <c r="F976" s="28">
        <v>200</v>
      </c>
      <c r="G976" s="35">
        <f>G977</f>
        <v>152133.4</v>
      </c>
      <c r="H976" s="35">
        <f t="shared" si="455"/>
        <v>152133.4</v>
      </c>
      <c r="I976" s="35">
        <f>I977</f>
        <v>0</v>
      </c>
      <c r="J976" s="35">
        <f>J977</f>
        <v>0</v>
      </c>
      <c r="K976" s="35">
        <f t="shared" si="455"/>
        <v>0</v>
      </c>
      <c r="L976" s="35">
        <f t="shared" si="434"/>
        <v>0</v>
      </c>
      <c r="M976" s="35">
        <v>0</v>
      </c>
    </row>
    <row r="977" spans="1:13" s="89" customFormat="1" ht="25.5">
      <c r="A977" s="59" t="s">
        <v>66</v>
      </c>
      <c r="B977" s="28" t="s">
        <v>385</v>
      </c>
      <c r="C977" s="28" t="s">
        <v>110</v>
      </c>
      <c r="D977" s="28" t="s">
        <v>106</v>
      </c>
      <c r="E977" s="28" t="s">
        <v>1251</v>
      </c>
      <c r="F977" s="28">
        <v>240</v>
      </c>
      <c r="G977" s="35">
        <v>152133.4</v>
      </c>
      <c r="H977" s="35">
        <v>152133.4</v>
      </c>
      <c r="I977" s="35">
        <v>0</v>
      </c>
      <c r="J977" s="35">
        <v>0</v>
      </c>
      <c r="K977" s="35">
        <v>0</v>
      </c>
      <c r="L977" s="35">
        <f t="shared" si="434"/>
        <v>0</v>
      </c>
      <c r="M977" s="35">
        <v>0</v>
      </c>
    </row>
    <row r="978" spans="1:13" ht="25.5">
      <c r="A978" s="59" t="s">
        <v>76</v>
      </c>
      <c r="B978" s="28" t="s">
        <v>385</v>
      </c>
      <c r="C978" s="28" t="s">
        <v>110</v>
      </c>
      <c r="D978" s="28" t="s">
        <v>106</v>
      </c>
      <c r="E978" s="28" t="s">
        <v>397</v>
      </c>
      <c r="F978" s="58" t="s">
        <v>0</v>
      </c>
      <c r="G978" s="35">
        <f>G979</f>
        <v>200996.4</v>
      </c>
      <c r="H978" s="35">
        <f t="shared" ref="H978:K979" si="456">H979</f>
        <v>200996.4</v>
      </c>
      <c r="I978" s="35">
        <f t="shared" si="456"/>
        <v>150269.807</v>
      </c>
      <c r="J978" s="35">
        <f t="shared" si="456"/>
        <v>150269.807</v>
      </c>
      <c r="K978" s="35">
        <f t="shared" si="456"/>
        <v>149969.807</v>
      </c>
      <c r="L978" s="35">
        <f t="shared" si="434"/>
        <v>74.613180634081004</v>
      </c>
      <c r="M978" s="35">
        <f t="shared" si="435"/>
        <v>99.800359096754548</v>
      </c>
    </row>
    <row r="979" spans="1:13" ht="25.5">
      <c r="A979" s="59" t="s">
        <v>80</v>
      </c>
      <c r="B979" s="28" t="s">
        <v>385</v>
      </c>
      <c r="C979" s="28" t="s">
        <v>110</v>
      </c>
      <c r="D979" s="28" t="s">
        <v>106</v>
      </c>
      <c r="E979" s="28" t="s">
        <v>397</v>
      </c>
      <c r="F979" s="28" t="s">
        <v>81</v>
      </c>
      <c r="G979" s="35">
        <f>G980</f>
        <v>200996.4</v>
      </c>
      <c r="H979" s="35">
        <f t="shared" si="456"/>
        <v>200996.4</v>
      </c>
      <c r="I979" s="35">
        <f>I980</f>
        <v>150269.807</v>
      </c>
      <c r="J979" s="35">
        <f>J980</f>
        <v>150269.807</v>
      </c>
      <c r="K979" s="35">
        <f t="shared" si="456"/>
        <v>149969.807</v>
      </c>
      <c r="L979" s="35">
        <f t="shared" si="434"/>
        <v>74.613180634081004</v>
      </c>
      <c r="M979" s="35">
        <f t="shared" si="435"/>
        <v>99.800359096754548</v>
      </c>
    </row>
    <row r="980" spans="1:13">
      <c r="A980" s="59" t="s">
        <v>271</v>
      </c>
      <c r="B980" s="28" t="s">
        <v>385</v>
      </c>
      <c r="C980" s="28" t="s">
        <v>110</v>
      </c>
      <c r="D980" s="28" t="s">
        <v>106</v>
      </c>
      <c r="E980" s="28" t="s">
        <v>397</v>
      </c>
      <c r="F980" s="28" t="s">
        <v>272</v>
      </c>
      <c r="G980" s="35">
        <v>200996.4</v>
      </c>
      <c r="H980" s="35">
        <v>200996.4</v>
      </c>
      <c r="I980" s="35">
        <v>150269.807</v>
      </c>
      <c r="J980" s="35">
        <v>150269.807</v>
      </c>
      <c r="K980" s="35">
        <v>149969.807</v>
      </c>
      <c r="L980" s="35">
        <f t="shared" si="434"/>
        <v>74.613180634081004</v>
      </c>
      <c r="M980" s="35">
        <f t="shared" si="435"/>
        <v>99.800359096754548</v>
      </c>
    </row>
    <row r="981" spans="1:13" s="88" customFormat="1" ht="48.75" customHeight="1">
      <c r="A981" s="59" t="s">
        <v>1236</v>
      </c>
      <c r="B981" s="28" t="s">
        <v>385</v>
      </c>
      <c r="C981" s="28" t="s">
        <v>110</v>
      </c>
      <c r="D981" s="28" t="s">
        <v>106</v>
      </c>
      <c r="E981" s="29" t="s">
        <v>1235</v>
      </c>
      <c r="F981" s="28"/>
      <c r="G981" s="35">
        <f>G982</f>
        <v>5000</v>
      </c>
      <c r="H981" s="35">
        <f t="shared" ref="H981:K982" si="457">H982</f>
        <v>5000</v>
      </c>
      <c r="I981" s="35">
        <f t="shared" si="457"/>
        <v>0</v>
      </c>
      <c r="J981" s="35">
        <f t="shared" si="457"/>
        <v>0</v>
      </c>
      <c r="K981" s="35">
        <f t="shared" si="457"/>
        <v>0</v>
      </c>
      <c r="L981" s="35">
        <f t="shared" si="434"/>
        <v>0</v>
      </c>
      <c r="M981" s="35">
        <v>0</v>
      </c>
    </row>
    <row r="982" spans="1:13" s="88" customFormat="1">
      <c r="A982" s="59" t="s">
        <v>26</v>
      </c>
      <c r="B982" s="28" t="s">
        <v>385</v>
      </c>
      <c r="C982" s="28" t="s">
        <v>110</v>
      </c>
      <c r="D982" s="28" t="s">
        <v>106</v>
      </c>
      <c r="E982" s="29" t="s">
        <v>1235</v>
      </c>
      <c r="F982" s="28">
        <v>500</v>
      </c>
      <c r="G982" s="35">
        <f>G983</f>
        <v>5000</v>
      </c>
      <c r="H982" s="35">
        <f t="shared" si="457"/>
        <v>5000</v>
      </c>
      <c r="I982" s="35">
        <f t="shared" si="457"/>
        <v>0</v>
      </c>
      <c r="J982" s="35">
        <f t="shared" si="457"/>
        <v>0</v>
      </c>
      <c r="K982" s="35">
        <f t="shared" si="457"/>
        <v>0</v>
      </c>
      <c r="L982" s="35">
        <f t="shared" si="434"/>
        <v>0</v>
      </c>
      <c r="M982" s="35">
        <v>0</v>
      </c>
    </row>
    <row r="983" spans="1:13" s="88" customFormat="1">
      <c r="A983" s="62" t="s">
        <v>56</v>
      </c>
      <c r="B983" s="28" t="s">
        <v>385</v>
      </c>
      <c r="C983" s="28" t="s">
        <v>110</v>
      </c>
      <c r="D983" s="28" t="s">
        <v>106</v>
      </c>
      <c r="E983" s="29" t="s">
        <v>1235</v>
      </c>
      <c r="F983" s="28">
        <v>520</v>
      </c>
      <c r="G983" s="35">
        <v>5000</v>
      </c>
      <c r="H983" s="35">
        <v>5000</v>
      </c>
      <c r="I983" s="35">
        <v>0</v>
      </c>
      <c r="J983" s="35">
        <v>0</v>
      </c>
      <c r="K983" s="35">
        <v>0</v>
      </c>
      <c r="L983" s="35">
        <f t="shared" si="434"/>
        <v>0</v>
      </c>
      <c r="M983" s="35">
        <v>0</v>
      </c>
    </row>
    <row r="984" spans="1:13">
      <c r="A984" s="59" t="s">
        <v>398</v>
      </c>
      <c r="B984" s="28" t="s">
        <v>385</v>
      </c>
      <c r="C984" s="28" t="s">
        <v>110</v>
      </c>
      <c r="D984" s="28" t="s">
        <v>106</v>
      </c>
      <c r="E984" s="28" t="s">
        <v>399</v>
      </c>
      <c r="F984" s="58" t="s">
        <v>0</v>
      </c>
      <c r="G984" s="35">
        <f>G985</f>
        <v>11721353.1</v>
      </c>
      <c r="H984" s="35">
        <f t="shared" ref="H984:K985" si="458">H985</f>
        <v>11721353.1</v>
      </c>
      <c r="I984" s="35">
        <f t="shared" si="458"/>
        <v>9059632.2829999998</v>
      </c>
      <c r="J984" s="35">
        <f t="shared" si="458"/>
        <v>9059632.2829999998</v>
      </c>
      <c r="K984" s="35">
        <f t="shared" si="458"/>
        <v>8624327.3641599994</v>
      </c>
      <c r="L984" s="35">
        <f t="shared" si="434"/>
        <v>73.577916223341148</v>
      </c>
      <c r="M984" s="35">
        <f t="shared" si="435"/>
        <v>95.195114931355093</v>
      </c>
    </row>
    <row r="985" spans="1:13">
      <c r="A985" s="59" t="s">
        <v>26</v>
      </c>
      <c r="B985" s="28" t="s">
        <v>385</v>
      </c>
      <c r="C985" s="28" t="s">
        <v>110</v>
      </c>
      <c r="D985" s="28" t="s">
        <v>106</v>
      </c>
      <c r="E985" s="28" t="s">
        <v>399</v>
      </c>
      <c r="F985" s="28" t="s">
        <v>27</v>
      </c>
      <c r="G985" s="35">
        <f>G986</f>
        <v>11721353.1</v>
      </c>
      <c r="H985" s="35">
        <f t="shared" si="458"/>
        <v>11721353.1</v>
      </c>
      <c r="I985" s="35">
        <f t="shared" si="458"/>
        <v>9059632.2829999998</v>
      </c>
      <c r="J985" s="35">
        <f t="shared" si="458"/>
        <v>9059632.2829999998</v>
      </c>
      <c r="K985" s="35">
        <f t="shared" si="458"/>
        <v>8624327.3641599994</v>
      </c>
      <c r="L985" s="35">
        <f t="shared" si="434"/>
        <v>73.577916223341148</v>
      </c>
      <c r="M985" s="35">
        <f t="shared" si="435"/>
        <v>95.195114931355093</v>
      </c>
    </row>
    <row r="986" spans="1:13">
      <c r="A986" s="59" t="s">
        <v>28</v>
      </c>
      <c r="B986" s="28" t="s">
        <v>385</v>
      </c>
      <c r="C986" s="28" t="s">
        <v>110</v>
      </c>
      <c r="D986" s="28" t="s">
        <v>106</v>
      </c>
      <c r="E986" s="28" t="s">
        <v>399</v>
      </c>
      <c r="F986" s="28" t="s">
        <v>29</v>
      </c>
      <c r="G986" s="35">
        <v>11721353.1</v>
      </c>
      <c r="H986" s="35">
        <v>11721353.1</v>
      </c>
      <c r="I986" s="35">
        <v>9059632.2829999998</v>
      </c>
      <c r="J986" s="35">
        <v>9059632.2829999998</v>
      </c>
      <c r="K986" s="35">
        <v>8624327.3641599994</v>
      </c>
      <c r="L986" s="35">
        <f t="shared" si="434"/>
        <v>73.577916223341148</v>
      </c>
      <c r="M986" s="35">
        <f t="shared" si="435"/>
        <v>95.195114931355093</v>
      </c>
    </row>
    <row r="987" spans="1:13" ht="76.5">
      <c r="A987" s="59" t="s">
        <v>400</v>
      </c>
      <c r="B987" s="28" t="s">
        <v>385</v>
      </c>
      <c r="C987" s="28" t="s">
        <v>110</v>
      </c>
      <c r="D987" s="28" t="s">
        <v>106</v>
      </c>
      <c r="E987" s="28" t="s">
        <v>401</v>
      </c>
      <c r="F987" s="58" t="s">
        <v>0</v>
      </c>
      <c r="G987" s="35">
        <f>G988</f>
        <v>1500334.2</v>
      </c>
      <c r="H987" s="35">
        <f t="shared" ref="H987:K989" si="459">H988</f>
        <v>1503434.186</v>
      </c>
      <c r="I987" s="35">
        <f t="shared" si="459"/>
        <v>1107375.4460199999</v>
      </c>
      <c r="J987" s="35">
        <f t="shared" si="459"/>
        <v>1107375.4460199999</v>
      </c>
      <c r="K987" s="35">
        <f t="shared" si="459"/>
        <v>1107243.5870000001</v>
      </c>
      <c r="L987" s="35">
        <f t="shared" si="434"/>
        <v>73.647626035823038</v>
      </c>
      <c r="M987" s="35">
        <f t="shared" si="435"/>
        <v>99.988092654530689</v>
      </c>
    </row>
    <row r="988" spans="1:13" ht="25.5">
      <c r="A988" s="59" t="s">
        <v>76</v>
      </c>
      <c r="B988" s="28" t="s">
        <v>385</v>
      </c>
      <c r="C988" s="28" t="s">
        <v>110</v>
      </c>
      <c r="D988" s="28" t="s">
        <v>106</v>
      </c>
      <c r="E988" s="28" t="s">
        <v>402</v>
      </c>
      <c r="F988" s="58" t="s">
        <v>0</v>
      </c>
      <c r="G988" s="35">
        <f>G989</f>
        <v>1500334.2</v>
      </c>
      <c r="H988" s="35">
        <f t="shared" si="459"/>
        <v>1503434.186</v>
      </c>
      <c r="I988" s="35">
        <f t="shared" si="459"/>
        <v>1107375.4460199999</v>
      </c>
      <c r="J988" s="35">
        <f t="shared" si="459"/>
        <v>1107375.4460199999</v>
      </c>
      <c r="K988" s="35">
        <f t="shared" si="459"/>
        <v>1107243.5870000001</v>
      </c>
      <c r="L988" s="35">
        <f t="shared" si="434"/>
        <v>73.647626035823038</v>
      </c>
      <c r="M988" s="35">
        <f t="shared" si="435"/>
        <v>99.988092654530689</v>
      </c>
    </row>
    <row r="989" spans="1:13" ht="25.5">
      <c r="A989" s="59" t="s">
        <v>80</v>
      </c>
      <c r="B989" s="28" t="s">
        <v>385</v>
      </c>
      <c r="C989" s="28" t="s">
        <v>110</v>
      </c>
      <c r="D989" s="28" t="s">
        <v>106</v>
      </c>
      <c r="E989" s="28" t="s">
        <v>402</v>
      </c>
      <c r="F989" s="28" t="s">
        <v>81</v>
      </c>
      <c r="G989" s="35">
        <f>G990</f>
        <v>1500334.2</v>
      </c>
      <c r="H989" s="35">
        <f t="shared" si="459"/>
        <v>1503434.186</v>
      </c>
      <c r="I989" s="35">
        <f t="shared" si="459"/>
        <v>1107375.4460199999</v>
      </c>
      <c r="J989" s="35">
        <f t="shared" si="459"/>
        <v>1107375.4460199999</v>
      </c>
      <c r="K989" s="35">
        <f t="shared" si="459"/>
        <v>1107243.5870000001</v>
      </c>
      <c r="L989" s="35">
        <f t="shared" si="434"/>
        <v>73.647626035823038</v>
      </c>
      <c r="M989" s="35">
        <f t="shared" si="435"/>
        <v>99.988092654530689</v>
      </c>
    </row>
    <row r="990" spans="1:13">
      <c r="A990" s="59" t="s">
        <v>271</v>
      </c>
      <c r="B990" s="28" t="s">
        <v>385</v>
      </c>
      <c r="C990" s="28" t="s">
        <v>110</v>
      </c>
      <c r="D990" s="28" t="s">
        <v>106</v>
      </c>
      <c r="E990" s="28" t="s">
        <v>402</v>
      </c>
      <c r="F990" s="28" t="s">
        <v>272</v>
      </c>
      <c r="G990" s="35">
        <v>1500334.2</v>
      </c>
      <c r="H990" s="35">
        <v>1503434.186</v>
      </c>
      <c r="I990" s="35">
        <v>1107375.4460199999</v>
      </c>
      <c r="J990" s="35">
        <v>1107375.4460199999</v>
      </c>
      <c r="K990" s="35">
        <v>1107243.5870000001</v>
      </c>
      <c r="L990" s="35">
        <f t="shared" si="434"/>
        <v>73.647626035823038</v>
      </c>
      <c r="M990" s="35">
        <f t="shared" si="435"/>
        <v>99.988092654530689</v>
      </c>
    </row>
    <row r="991" spans="1:13" ht="25.5">
      <c r="A991" s="59" t="s">
        <v>403</v>
      </c>
      <c r="B991" s="28" t="s">
        <v>385</v>
      </c>
      <c r="C991" s="28" t="s">
        <v>110</v>
      </c>
      <c r="D991" s="28" t="s">
        <v>106</v>
      </c>
      <c r="E991" s="28" t="s">
        <v>404</v>
      </c>
      <c r="F991" s="58" t="s">
        <v>0</v>
      </c>
      <c r="G991" s="35">
        <f>G992</f>
        <v>13230</v>
      </c>
      <c r="H991" s="35">
        <f t="shared" ref="H991:K993" si="460">H992</f>
        <v>13230</v>
      </c>
      <c r="I991" s="35">
        <f t="shared" si="460"/>
        <v>9945</v>
      </c>
      <c r="J991" s="35">
        <f t="shared" si="460"/>
        <v>9945</v>
      </c>
      <c r="K991" s="35">
        <f t="shared" si="460"/>
        <v>9945</v>
      </c>
      <c r="L991" s="35">
        <f t="shared" si="434"/>
        <v>75.170068027210874</v>
      </c>
      <c r="M991" s="35">
        <f t="shared" si="435"/>
        <v>100</v>
      </c>
    </row>
    <row r="992" spans="1:13" ht="25.5">
      <c r="A992" s="59" t="s">
        <v>76</v>
      </c>
      <c r="B992" s="28" t="s">
        <v>385</v>
      </c>
      <c r="C992" s="28" t="s">
        <v>110</v>
      </c>
      <c r="D992" s="28" t="s">
        <v>106</v>
      </c>
      <c r="E992" s="28" t="s">
        <v>405</v>
      </c>
      <c r="F992" s="58" t="s">
        <v>0</v>
      </c>
      <c r="G992" s="35">
        <f>G993</f>
        <v>13230</v>
      </c>
      <c r="H992" s="35">
        <f t="shared" si="460"/>
        <v>13230</v>
      </c>
      <c r="I992" s="35">
        <f t="shared" si="460"/>
        <v>9945</v>
      </c>
      <c r="J992" s="35">
        <f t="shared" si="460"/>
        <v>9945</v>
      </c>
      <c r="K992" s="35">
        <f t="shared" si="460"/>
        <v>9945</v>
      </c>
      <c r="L992" s="35">
        <f t="shared" si="434"/>
        <v>75.170068027210874</v>
      </c>
      <c r="M992" s="35">
        <f t="shared" si="435"/>
        <v>100</v>
      </c>
    </row>
    <row r="993" spans="1:13" ht="25.5">
      <c r="A993" s="59" t="s">
        <v>80</v>
      </c>
      <c r="B993" s="28" t="s">
        <v>385</v>
      </c>
      <c r="C993" s="28" t="s">
        <v>110</v>
      </c>
      <c r="D993" s="28" t="s">
        <v>106</v>
      </c>
      <c r="E993" s="28" t="s">
        <v>405</v>
      </c>
      <c r="F993" s="28" t="s">
        <v>81</v>
      </c>
      <c r="G993" s="35">
        <f>G994</f>
        <v>13230</v>
      </c>
      <c r="H993" s="35">
        <f t="shared" si="460"/>
        <v>13230</v>
      </c>
      <c r="I993" s="35">
        <f t="shared" si="460"/>
        <v>9945</v>
      </c>
      <c r="J993" s="35">
        <f t="shared" si="460"/>
        <v>9945</v>
      </c>
      <c r="K993" s="35">
        <f t="shared" si="460"/>
        <v>9945</v>
      </c>
      <c r="L993" s="35">
        <f t="shared" si="434"/>
        <v>75.170068027210874</v>
      </c>
      <c r="M993" s="35">
        <f t="shared" si="435"/>
        <v>100</v>
      </c>
    </row>
    <row r="994" spans="1:13">
      <c r="A994" s="59" t="s">
        <v>271</v>
      </c>
      <c r="B994" s="28" t="s">
        <v>385</v>
      </c>
      <c r="C994" s="28" t="s">
        <v>110</v>
      </c>
      <c r="D994" s="28" t="s">
        <v>106</v>
      </c>
      <c r="E994" s="28" t="s">
        <v>405</v>
      </c>
      <c r="F994" s="28" t="s">
        <v>272</v>
      </c>
      <c r="G994" s="35">
        <v>13230</v>
      </c>
      <c r="H994" s="35">
        <v>13230</v>
      </c>
      <c r="I994" s="35">
        <v>9945</v>
      </c>
      <c r="J994" s="35">
        <v>9945</v>
      </c>
      <c r="K994" s="35">
        <v>9945</v>
      </c>
      <c r="L994" s="35">
        <f t="shared" si="434"/>
        <v>75.170068027210874</v>
      </c>
      <c r="M994" s="35">
        <f t="shared" si="435"/>
        <v>100</v>
      </c>
    </row>
    <row r="995" spans="1:13" ht="33.75" customHeight="1">
      <c r="A995" s="59" t="s">
        <v>412</v>
      </c>
      <c r="B995" s="28" t="s">
        <v>385</v>
      </c>
      <c r="C995" s="28" t="s">
        <v>110</v>
      </c>
      <c r="D995" s="28" t="s">
        <v>106</v>
      </c>
      <c r="E995" s="29" t="s">
        <v>413</v>
      </c>
      <c r="F995" s="28"/>
      <c r="G995" s="35"/>
      <c r="H995" s="35">
        <f>H996</f>
        <v>1600</v>
      </c>
      <c r="I995" s="35">
        <f t="shared" ref="I995:K997" si="461">I996</f>
        <v>1600</v>
      </c>
      <c r="J995" s="35">
        <f t="shared" si="461"/>
        <v>1600</v>
      </c>
      <c r="K995" s="35">
        <f t="shared" si="461"/>
        <v>1600</v>
      </c>
      <c r="L995" s="35">
        <f t="shared" ref="L995:L1058" si="462">K995/H995*100</f>
        <v>100</v>
      </c>
      <c r="M995" s="35">
        <f t="shared" ref="M995:M1058" si="463">K995/I995*100</f>
        <v>100</v>
      </c>
    </row>
    <row r="996" spans="1:13">
      <c r="A996" s="59" t="s">
        <v>1137</v>
      </c>
      <c r="B996" s="28" t="s">
        <v>385</v>
      </c>
      <c r="C996" s="28" t="s">
        <v>110</v>
      </c>
      <c r="D996" s="28" t="s">
        <v>106</v>
      </c>
      <c r="E996" s="29" t="s">
        <v>1136</v>
      </c>
      <c r="F996" s="28"/>
      <c r="G996" s="35"/>
      <c r="H996" s="35">
        <f>H997</f>
        <v>1600</v>
      </c>
      <c r="I996" s="35">
        <f t="shared" si="461"/>
        <v>1600</v>
      </c>
      <c r="J996" s="35">
        <f t="shared" si="461"/>
        <v>1600</v>
      </c>
      <c r="K996" s="35">
        <f t="shared" si="461"/>
        <v>1600</v>
      </c>
      <c r="L996" s="35">
        <f t="shared" si="462"/>
        <v>100</v>
      </c>
      <c r="M996" s="35">
        <f t="shared" si="463"/>
        <v>100</v>
      </c>
    </row>
    <row r="997" spans="1:13">
      <c r="A997" s="62" t="s">
        <v>68</v>
      </c>
      <c r="B997" s="28" t="s">
        <v>385</v>
      </c>
      <c r="C997" s="28" t="s">
        <v>110</v>
      </c>
      <c r="D997" s="28" t="s">
        <v>106</v>
      </c>
      <c r="E997" s="29" t="s">
        <v>1136</v>
      </c>
      <c r="F997" s="28">
        <v>300</v>
      </c>
      <c r="G997" s="35"/>
      <c r="H997" s="35">
        <f>H998</f>
        <v>1600</v>
      </c>
      <c r="I997" s="35">
        <f t="shared" si="461"/>
        <v>1600</v>
      </c>
      <c r="J997" s="35">
        <f t="shared" si="461"/>
        <v>1600</v>
      </c>
      <c r="K997" s="35">
        <f t="shared" si="461"/>
        <v>1600</v>
      </c>
      <c r="L997" s="35">
        <f t="shared" si="462"/>
        <v>100</v>
      </c>
      <c r="M997" s="35">
        <f t="shared" si="463"/>
        <v>100</v>
      </c>
    </row>
    <row r="998" spans="1:13">
      <c r="A998" s="62" t="s">
        <v>373</v>
      </c>
      <c r="B998" s="28" t="s">
        <v>385</v>
      </c>
      <c r="C998" s="28" t="s">
        <v>110</v>
      </c>
      <c r="D998" s="28" t="s">
        <v>106</v>
      </c>
      <c r="E998" s="29" t="s">
        <v>1136</v>
      </c>
      <c r="F998" s="28">
        <v>350</v>
      </c>
      <c r="G998" s="35"/>
      <c r="H998" s="35">
        <v>1600</v>
      </c>
      <c r="I998" s="35">
        <v>1600</v>
      </c>
      <c r="J998" s="35">
        <v>1600</v>
      </c>
      <c r="K998" s="35">
        <v>1600</v>
      </c>
      <c r="L998" s="35">
        <f t="shared" si="462"/>
        <v>100</v>
      </c>
      <c r="M998" s="35">
        <f t="shared" si="463"/>
        <v>100</v>
      </c>
    </row>
    <row r="999" spans="1:13" ht="38.25">
      <c r="A999" s="59" t="s">
        <v>114</v>
      </c>
      <c r="B999" s="28" t="s">
        <v>385</v>
      </c>
      <c r="C999" s="28" t="s">
        <v>110</v>
      </c>
      <c r="D999" s="28" t="s">
        <v>106</v>
      </c>
      <c r="E999" s="28" t="s">
        <v>115</v>
      </c>
      <c r="F999" s="58" t="s">
        <v>0</v>
      </c>
      <c r="G999" s="35">
        <f>G1009+G1003</f>
        <v>4663.8</v>
      </c>
      <c r="H999" s="35">
        <f>H1009+H1003+H1000</f>
        <v>29772.822</v>
      </c>
      <c r="I999" s="35">
        <f t="shared" ref="I999:K999" si="464">I1009+I1003+I1000</f>
        <v>29772.822</v>
      </c>
      <c r="J999" s="35">
        <f t="shared" si="464"/>
        <v>29772.822</v>
      </c>
      <c r="K999" s="35">
        <f t="shared" si="464"/>
        <v>29772.05459</v>
      </c>
      <c r="L999" s="35">
        <f t="shared" si="462"/>
        <v>99.997422447895602</v>
      </c>
      <c r="M999" s="35">
        <f t="shared" si="463"/>
        <v>99.997422447895602</v>
      </c>
    </row>
    <row r="1000" spans="1:13" s="91" customFormat="1" ht="41.25" customHeight="1">
      <c r="A1000" s="59" t="s">
        <v>1139</v>
      </c>
      <c r="B1000" s="28" t="s">
        <v>385</v>
      </c>
      <c r="C1000" s="28" t="s">
        <v>110</v>
      </c>
      <c r="D1000" s="28" t="s">
        <v>106</v>
      </c>
      <c r="E1000" s="29" t="s">
        <v>1138</v>
      </c>
      <c r="F1000" s="58"/>
      <c r="G1000" s="35"/>
      <c r="H1000" s="35">
        <f>H1001</f>
        <v>25109</v>
      </c>
      <c r="I1000" s="35">
        <f t="shared" ref="I1000:K1001" si="465">I1001</f>
        <v>25109</v>
      </c>
      <c r="J1000" s="35">
        <f t="shared" si="465"/>
        <v>25109</v>
      </c>
      <c r="K1000" s="35">
        <f t="shared" si="465"/>
        <v>25108.23259</v>
      </c>
      <c r="L1000" s="35">
        <f t="shared" si="462"/>
        <v>99.996943685531079</v>
      </c>
      <c r="M1000" s="35">
        <f t="shared" si="463"/>
        <v>99.996943685531079</v>
      </c>
    </row>
    <row r="1001" spans="1:13" s="91" customFormat="1">
      <c r="A1001" s="59" t="s">
        <v>26</v>
      </c>
      <c r="B1001" s="28" t="s">
        <v>385</v>
      </c>
      <c r="C1001" s="28" t="s">
        <v>110</v>
      </c>
      <c r="D1001" s="28" t="s">
        <v>106</v>
      </c>
      <c r="E1001" s="29" t="s">
        <v>1138</v>
      </c>
      <c r="F1001" s="58">
        <v>500</v>
      </c>
      <c r="G1001" s="35"/>
      <c r="H1001" s="35">
        <f>H1002</f>
        <v>25109</v>
      </c>
      <c r="I1001" s="35">
        <f t="shared" si="465"/>
        <v>25109</v>
      </c>
      <c r="J1001" s="35">
        <f t="shared" si="465"/>
        <v>25109</v>
      </c>
      <c r="K1001" s="35">
        <f t="shared" si="465"/>
        <v>25108.23259</v>
      </c>
      <c r="L1001" s="35">
        <f t="shared" si="462"/>
        <v>99.996943685531079</v>
      </c>
      <c r="M1001" s="35">
        <f t="shared" si="463"/>
        <v>99.996943685531079</v>
      </c>
    </row>
    <row r="1002" spans="1:13" s="91" customFormat="1">
      <c r="A1002" s="59" t="s">
        <v>56</v>
      </c>
      <c r="B1002" s="28" t="s">
        <v>385</v>
      </c>
      <c r="C1002" s="28" t="s">
        <v>110</v>
      </c>
      <c r="D1002" s="28" t="s">
        <v>106</v>
      </c>
      <c r="E1002" s="29" t="s">
        <v>1138</v>
      </c>
      <c r="F1002" s="58">
        <v>520</v>
      </c>
      <c r="G1002" s="35"/>
      <c r="H1002" s="35">
        <v>25109</v>
      </c>
      <c r="I1002" s="35">
        <v>25109</v>
      </c>
      <c r="J1002" s="35">
        <v>25109</v>
      </c>
      <c r="K1002" s="35">
        <v>25108.23259</v>
      </c>
      <c r="L1002" s="35">
        <f t="shared" si="462"/>
        <v>99.996943685531079</v>
      </c>
      <c r="M1002" s="35">
        <f t="shared" si="463"/>
        <v>99.996943685531079</v>
      </c>
    </row>
    <row r="1003" spans="1:13" s="88" customFormat="1">
      <c r="A1003" s="59" t="s">
        <v>1238</v>
      </c>
      <c r="B1003" s="28" t="s">
        <v>385</v>
      </c>
      <c r="C1003" s="28" t="s">
        <v>110</v>
      </c>
      <c r="D1003" s="28" t="s">
        <v>106</v>
      </c>
      <c r="E1003" s="29" t="s">
        <v>1237</v>
      </c>
      <c r="F1003" s="58"/>
      <c r="G1003" s="35">
        <f>G1004</f>
        <v>663.8</v>
      </c>
      <c r="H1003" s="35">
        <f t="shared" ref="H1003:K1004" si="466">H1004</f>
        <v>663.822</v>
      </c>
      <c r="I1003" s="35">
        <f t="shared" si="466"/>
        <v>663.822</v>
      </c>
      <c r="J1003" s="35">
        <f t="shared" si="466"/>
        <v>663.822</v>
      </c>
      <c r="K1003" s="35">
        <f t="shared" si="466"/>
        <v>663.822</v>
      </c>
      <c r="L1003" s="35">
        <f t="shared" si="462"/>
        <v>100</v>
      </c>
      <c r="M1003" s="35">
        <f t="shared" si="463"/>
        <v>100</v>
      </c>
    </row>
    <row r="1004" spans="1:13" s="88" customFormat="1">
      <c r="A1004" s="59" t="s">
        <v>26</v>
      </c>
      <c r="B1004" s="28" t="s">
        <v>385</v>
      </c>
      <c r="C1004" s="28" t="s">
        <v>110</v>
      </c>
      <c r="D1004" s="28" t="s">
        <v>106</v>
      </c>
      <c r="E1004" s="29" t="s">
        <v>1237</v>
      </c>
      <c r="F1004" s="58">
        <v>500</v>
      </c>
      <c r="G1004" s="35">
        <f>G1005</f>
        <v>663.8</v>
      </c>
      <c r="H1004" s="35">
        <f t="shared" si="466"/>
        <v>663.822</v>
      </c>
      <c r="I1004" s="35">
        <f t="shared" si="466"/>
        <v>663.822</v>
      </c>
      <c r="J1004" s="35">
        <f t="shared" si="466"/>
        <v>663.822</v>
      </c>
      <c r="K1004" s="35">
        <f t="shared" si="466"/>
        <v>663.822</v>
      </c>
      <c r="L1004" s="35">
        <f t="shared" si="462"/>
        <v>100</v>
      </c>
      <c r="M1004" s="35">
        <f t="shared" si="463"/>
        <v>100</v>
      </c>
    </row>
    <row r="1005" spans="1:13" s="88" customFormat="1">
      <c r="A1005" s="59" t="s">
        <v>56</v>
      </c>
      <c r="B1005" s="28" t="s">
        <v>385</v>
      </c>
      <c r="C1005" s="28" t="s">
        <v>110</v>
      </c>
      <c r="D1005" s="28" t="s">
        <v>106</v>
      </c>
      <c r="E1005" s="29" t="s">
        <v>1237</v>
      </c>
      <c r="F1005" s="58">
        <v>520</v>
      </c>
      <c r="G1005" s="35">
        <v>663.8</v>
      </c>
      <c r="H1005" s="35">
        <v>663.822</v>
      </c>
      <c r="I1005" s="35">
        <v>663.822</v>
      </c>
      <c r="J1005" s="35">
        <v>663.822</v>
      </c>
      <c r="K1005" s="35">
        <v>663.822</v>
      </c>
      <c r="L1005" s="35">
        <f t="shared" si="462"/>
        <v>100</v>
      </c>
      <c r="M1005" s="35">
        <f t="shared" si="463"/>
        <v>100</v>
      </c>
    </row>
    <row r="1006" spans="1:13" ht="43.5" hidden="1" customHeight="1">
      <c r="A1006" s="59" t="s">
        <v>1139</v>
      </c>
      <c r="B1006" s="28" t="s">
        <v>385</v>
      </c>
      <c r="C1006" s="28" t="s">
        <v>110</v>
      </c>
      <c r="D1006" s="28" t="s">
        <v>106</v>
      </c>
      <c r="E1006" s="29" t="s">
        <v>1138</v>
      </c>
      <c r="F1006" s="58"/>
      <c r="G1006" s="35"/>
      <c r="H1006" s="35">
        <f>H1007</f>
        <v>0</v>
      </c>
      <c r="I1006" s="35">
        <f t="shared" ref="I1006:K1007" si="467">I1007</f>
        <v>0</v>
      </c>
      <c r="J1006" s="35">
        <f t="shared" si="467"/>
        <v>0</v>
      </c>
      <c r="K1006" s="35">
        <f t="shared" si="467"/>
        <v>0</v>
      </c>
      <c r="L1006" s="35" t="e">
        <f t="shared" si="462"/>
        <v>#DIV/0!</v>
      </c>
      <c r="M1006" s="35" t="e">
        <f t="shared" si="463"/>
        <v>#DIV/0!</v>
      </c>
    </row>
    <row r="1007" spans="1:13" hidden="1">
      <c r="A1007" s="59" t="s">
        <v>26</v>
      </c>
      <c r="B1007" s="28" t="s">
        <v>385</v>
      </c>
      <c r="C1007" s="28" t="s">
        <v>110</v>
      </c>
      <c r="D1007" s="28" t="s">
        <v>106</v>
      </c>
      <c r="E1007" s="29" t="s">
        <v>1138</v>
      </c>
      <c r="F1007" s="58">
        <v>500</v>
      </c>
      <c r="G1007" s="35"/>
      <c r="H1007" s="35">
        <f>H1008</f>
        <v>0</v>
      </c>
      <c r="I1007" s="35">
        <f t="shared" si="467"/>
        <v>0</v>
      </c>
      <c r="J1007" s="35">
        <f t="shared" si="467"/>
        <v>0</v>
      </c>
      <c r="K1007" s="35">
        <f t="shared" si="467"/>
        <v>0</v>
      </c>
      <c r="L1007" s="35" t="e">
        <f t="shared" si="462"/>
        <v>#DIV/0!</v>
      </c>
      <c r="M1007" s="35" t="e">
        <f t="shared" si="463"/>
        <v>#DIV/0!</v>
      </c>
    </row>
    <row r="1008" spans="1:13" hidden="1">
      <c r="A1008" s="59" t="s">
        <v>56</v>
      </c>
      <c r="B1008" s="28" t="s">
        <v>385</v>
      </c>
      <c r="C1008" s="28" t="s">
        <v>110</v>
      </c>
      <c r="D1008" s="28" t="s">
        <v>106</v>
      </c>
      <c r="E1008" s="29" t="s">
        <v>1138</v>
      </c>
      <c r="F1008" s="58">
        <v>520</v>
      </c>
      <c r="G1008" s="35"/>
      <c r="H1008" s="35"/>
      <c r="I1008" s="35">
        <v>0</v>
      </c>
      <c r="J1008" s="35">
        <v>0</v>
      </c>
      <c r="K1008" s="35">
        <v>0</v>
      </c>
      <c r="L1008" s="35" t="e">
        <f t="shared" si="462"/>
        <v>#DIV/0!</v>
      </c>
      <c r="M1008" s="35" t="e">
        <f t="shared" si="463"/>
        <v>#DIV/0!</v>
      </c>
    </row>
    <row r="1009" spans="1:13" ht="51">
      <c r="A1009" s="59" t="s">
        <v>406</v>
      </c>
      <c r="B1009" s="28" t="s">
        <v>385</v>
      </c>
      <c r="C1009" s="28" t="s">
        <v>110</v>
      </c>
      <c r="D1009" s="28" t="s">
        <v>106</v>
      </c>
      <c r="E1009" s="28" t="s">
        <v>407</v>
      </c>
      <c r="F1009" s="58" t="s">
        <v>0</v>
      </c>
      <c r="G1009" s="35">
        <f>G1010</f>
        <v>4000</v>
      </c>
      <c r="H1009" s="35">
        <f t="shared" ref="H1009:K1010" si="468">H1010</f>
        <v>4000</v>
      </c>
      <c r="I1009" s="35">
        <f t="shared" si="468"/>
        <v>4000</v>
      </c>
      <c r="J1009" s="35">
        <f t="shared" si="468"/>
        <v>4000</v>
      </c>
      <c r="K1009" s="35">
        <f t="shared" si="468"/>
        <v>4000</v>
      </c>
      <c r="L1009" s="35">
        <f t="shared" si="462"/>
        <v>100</v>
      </c>
      <c r="M1009" s="35">
        <f t="shared" si="463"/>
        <v>100</v>
      </c>
    </row>
    <row r="1010" spans="1:13">
      <c r="A1010" s="59" t="s">
        <v>26</v>
      </c>
      <c r="B1010" s="28" t="s">
        <v>385</v>
      </c>
      <c r="C1010" s="28" t="s">
        <v>110</v>
      </c>
      <c r="D1010" s="28" t="s">
        <v>106</v>
      </c>
      <c r="E1010" s="28" t="s">
        <v>407</v>
      </c>
      <c r="F1010" s="28" t="s">
        <v>27</v>
      </c>
      <c r="G1010" s="35">
        <f>G1011</f>
        <v>4000</v>
      </c>
      <c r="H1010" s="35">
        <f t="shared" si="468"/>
        <v>4000</v>
      </c>
      <c r="I1010" s="35">
        <f t="shared" si="468"/>
        <v>4000</v>
      </c>
      <c r="J1010" s="35">
        <f t="shared" si="468"/>
        <v>4000</v>
      </c>
      <c r="K1010" s="35">
        <f t="shared" si="468"/>
        <v>4000</v>
      </c>
      <c r="L1010" s="35">
        <f t="shared" si="462"/>
        <v>100</v>
      </c>
      <c r="M1010" s="35">
        <f t="shared" si="463"/>
        <v>100</v>
      </c>
    </row>
    <row r="1011" spans="1:13" ht="12.75" customHeight="1">
      <c r="A1011" s="59" t="s">
        <v>56</v>
      </c>
      <c r="B1011" s="28" t="s">
        <v>385</v>
      </c>
      <c r="C1011" s="28" t="s">
        <v>110</v>
      </c>
      <c r="D1011" s="28" t="s">
        <v>106</v>
      </c>
      <c r="E1011" s="28" t="s">
        <v>407</v>
      </c>
      <c r="F1011" s="28" t="s">
        <v>57</v>
      </c>
      <c r="G1011" s="35">
        <v>4000</v>
      </c>
      <c r="H1011" s="35">
        <v>4000</v>
      </c>
      <c r="I1011" s="35">
        <v>4000</v>
      </c>
      <c r="J1011" s="35">
        <v>4000</v>
      </c>
      <c r="K1011" s="35">
        <v>4000</v>
      </c>
      <c r="L1011" s="35">
        <f t="shared" si="462"/>
        <v>100</v>
      </c>
      <c r="M1011" s="35">
        <f t="shared" si="463"/>
        <v>100</v>
      </c>
    </row>
    <row r="1012" spans="1:13" ht="12.75" customHeight="1">
      <c r="A1012" s="62" t="s">
        <v>612</v>
      </c>
      <c r="B1012" s="28" t="s">
        <v>385</v>
      </c>
      <c r="C1012" s="28" t="s">
        <v>110</v>
      </c>
      <c r="D1012" s="28" t="s">
        <v>106</v>
      </c>
      <c r="E1012" s="29" t="s">
        <v>613</v>
      </c>
      <c r="F1012" s="28"/>
      <c r="G1012" s="35"/>
      <c r="H1012" s="35">
        <f>H1013</f>
        <v>16517.268619999999</v>
      </c>
      <c r="I1012" s="35">
        <f t="shared" ref="I1012:K1012" si="469">I1013</f>
        <v>16517.268619999999</v>
      </c>
      <c r="J1012" s="35">
        <f t="shared" si="469"/>
        <v>16517.268619999999</v>
      </c>
      <c r="K1012" s="35">
        <f t="shared" si="469"/>
        <v>16517.268619999999</v>
      </c>
      <c r="L1012" s="35">
        <f t="shared" si="462"/>
        <v>100</v>
      </c>
      <c r="M1012" s="35">
        <f t="shared" si="463"/>
        <v>100</v>
      </c>
    </row>
    <row r="1013" spans="1:13" ht="12.75" customHeight="1">
      <c r="A1013" s="62" t="s">
        <v>612</v>
      </c>
      <c r="B1013" s="28" t="s">
        <v>385</v>
      </c>
      <c r="C1013" s="28" t="s">
        <v>110</v>
      </c>
      <c r="D1013" s="28" t="s">
        <v>106</v>
      </c>
      <c r="E1013" s="29" t="s">
        <v>614</v>
      </c>
      <c r="F1013" s="28"/>
      <c r="G1013" s="35"/>
      <c r="H1013" s="35">
        <f>H1014+H1016</f>
        <v>16517.268619999999</v>
      </c>
      <c r="I1013" s="35">
        <f t="shared" ref="I1013:K1013" si="470">I1014+I1016</f>
        <v>16517.268619999999</v>
      </c>
      <c r="J1013" s="35">
        <f t="shared" si="470"/>
        <v>16517.268619999999</v>
      </c>
      <c r="K1013" s="35">
        <f t="shared" si="470"/>
        <v>16517.268619999999</v>
      </c>
      <c r="L1013" s="35">
        <f t="shared" si="462"/>
        <v>100</v>
      </c>
      <c r="M1013" s="35">
        <f t="shared" si="463"/>
        <v>100</v>
      </c>
    </row>
    <row r="1014" spans="1:13" ht="12.75" customHeight="1">
      <c r="A1014" s="62" t="s">
        <v>26</v>
      </c>
      <c r="B1014" s="28" t="s">
        <v>385</v>
      </c>
      <c r="C1014" s="28" t="s">
        <v>110</v>
      </c>
      <c r="D1014" s="28" t="s">
        <v>106</v>
      </c>
      <c r="E1014" s="29" t="s">
        <v>614</v>
      </c>
      <c r="F1014" s="28">
        <v>500</v>
      </c>
      <c r="G1014" s="35"/>
      <c r="H1014" s="35">
        <f>H1015</f>
        <v>16345.464620000001</v>
      </c>
      <c r="I1014" s="35">
        <f t="shared" ref="I1014:K1014" si="471">I1015</f>
        <v>16345.464620000001</v>
      </c>
      <c r="J1014" s="35">
        <f t="shared" si="471"/>
        <v>16345.464620000001</v>
      </c>
      <c r="K1014" s="35">
        <f t="shared" si="471"/>
        <v>16345.464620000001</v>
      </c>
      <c r="L1014" s="35">
        <f t="shared" si="462"/>
        <v>100</v>
      </c>
      <c r="M1014" s="35">
        <f t="shared" si="463"/>
        <v>100</v>
      </c>
    </row>
    <row r="1015" spans="1:13" ht="12.75" customHeight="1">
      <c r="A1015" s="62" t="s">
        <v>352</v>
      </c>
      <c r="B1015" s="28" t="s">
        <v>385</v>
      </c>
      <c r="C1015" s="28" t="s">
        <v>110</v>
      </c>
      <c r="D1015" s="28" t="s">
        <v>106</v>
      </c>
      <c r="E1015" s="29" t="s">
        <v>614</v>
      </c>
      <c r="F1015" s="28">
        <v>540</v>
      </c>
      <c r="G1015" s="35"/>
      <c r="H1015" s="35">
        <v>16345.464620000001</v>
      </c>
      <c r="I1015" s="35">
        <v>16345.464620000001</v>
      </c>
      <c r="J1015" s="35">
        <v>16345.464620000001</v>
      </c>
      <c r="K1015" s="35">
        <v>16345.464620000001</v>
      </c>
      <c r="L1015" s="35">
        <f t="shared" si="462"/>
        <v>100</v>
      </c>
      <c r="M1015" s="35">
        <f t="shared" si="463"/>
        <v>100</v>
      </c>
    </row>
    <row r="1016" spans="1:13" ht="25.5">
      <c r="A1016" s="59" t="s">
        <v>80</v>
      </c>
      <c r="B1016" s="28" t="s">
        <v>385</v>
      </c>
      <c r="C1016" s="28" t="s">
        <v>110</v>
      </c>
      <c r="D1016" s="28" t="s">
        <v>106</v>
      </c>
      <c r="E1016" s="29" t="s">
        <v>614</v>
      </c>
      <c r="F1016" s="28">
        <v>600</v>
      </c>
      <c r="G1016" s="35"/>
      <c r="H1016" s="35">
        <f>H1017</f>
        <v>171.804</v>
      </c>
      <c r="I1016" s="35">
        <f t="shared" ref="I1016:K1016" si="472">I1017</f>
        <v>171.804</v>
      </c>
      <c r="J1016" s="35">
        <f t="shared" si="472"/>
        <v>171.804</v>
      </c>
      <c r="K1016" s="35">
        <f t="shared" si="472"/>
        <v>171.804</v>
      </c>
      <c r="L1016" s="35">
        <f t="shared" si="462"/>
        <v>100</v>
      </c>
      <c r="M1016" s="35">
        <f t="shared" si="463"/>
        <v>100</v>
      </c>
    </row>
    <row r="1017" spans="1:13">
      <c r="A1017" s="59" t="s">
        <v>271</v>
      </c>
      <c r="B1017" s="28" t="s">
        <v>385</v>
      </c>
      <c r="C1017" s="28" t="s">
        <v>110</v>
      </c>
      <c r="D1017" s="28" t="s">
        <v>106</v>
      </c>
      <c r="E1017" s="29" t="s">
        <v>614</v>
      </c>
      <c r="F1017" s="28">
        <v>610</v>
      </c>
      <c r="G1017" s="35"/>
      <c r="H1017" s="35">
        <v>171.804</v>
      </c>
      <c r="I1017" s="35">
        <v>171.804</v>
      </c>
      <c r="J1017" s="35">
        <v>171.804</v>
      </c>
      <c r="K1017" s="35">
        <v>171.804</v>
      </c>
      <c r="L1017" s="35">
        <f t="shared" si="462"/>
        <v>100</v>
      </c>
      <c r="M1017" s="35">
        <f t="shared" si="463"/>
        <v>100</v>
      </c>
    </row>
    <row r="1018" spans="1:13">
      <c r="A1018" s="59" t="s">
        <v>127</v>
      </c>
      <c r="B1018" s="28" t="s">
        <v>385</v>
      </c>
      <c r="C1018" s="28" t="s">
        <v>110</v>
      </c>
      <c r="D1018" s="28" t="s">
        <v>19</v>
      </c>
      <c r="E1018" s="58" t="s">
        <v>0</v>
      </c>
      <c r="F1018" s="58" t="s">
        <v>0</v>
      </c>
      <c r="G1018" s="35">
        <f>G1019</f>
        <v>2018934.5</v>
      </c>
      <c r="H1018" s="35">
        <f>H1019+H1037</f>
        <v>2021792.139</v>
      </c>
      <c r="I1018" s="35">
        <f t="shared" ref="I1018:K1018" si="473">I1019+I1037</f>
        <v>1476946.469</v>
      </c>
      <c r="J1018" s="35">
        <f t="shared" si="473"/>
        <v>1476946.469</v>
      </c>
      <c r="K1018" s="35">
        <f t="shared" si="473"/>
        <v>1476946.469</v>
      </c>
      <c r="L1018" s="35">
        <f t="shared" si="462"/>
        <v>73.051350854025657</v>
      </c>
      <c r="M1018" s="35">
        <f t="shared" si="463"/>
        <v>100</v>
      </c>
    </row>
    <row r="1019" spans="1:13" ht="38.25">
      <c r="A1019" s="59" t="s">
        <v>112</v>
      </c>
      <c r="B1019" s="28" t="s">
        <v>385</v>
      </c>
      <c r="C1019" s="28" t="s">
        <v>110</v>
      </c>
      <c r="D1019" s="28" t="s">
        <v>19</v>
      </c>
      <c r="E1019" s="28" t="s">
        <v>113</v>
      </c>
      <c r="F1019" s="58" t="s">
        <v>0</v>
      </c>
      <c r="G1019" s="35">
        <f>G1020</f>
        <v>2018934.5</v>
      </c>
      <c r="H1019" s="35">
        <f t="shared" ref="H1019:K1019" si="474">H1020</f>
        <v>2021510.9439999999</v>
      </c>
      <c r="I1019" s="35">
        <f t="shared" si="474"/>
        <v>1476665.274</v>
      </c>
      <c r="J1019" s="35">
        <f t="shared" si="474"/>
        <v>1476665.274</v>
      </c>
      <c r="K1019" s="35">
        <f t="shared" si="474"/>
        <v>1476665.274</v>
      </c>
      <c r="L1019" s="35">
        <f t="shared" si="462"/>
        <v>73.047602259233685</v>
      </c>
      <c r="M1019" s="35">
        <f t="shared" si="463"/>
        <v>100</v>
      </c>
    </row>
    <row r="1020" spans="1:13" ht="25.5">
      <c r="A1020" s="59" t="s">
        <v>403</v>
      </c>
      <c r="B1020" s="28" t="s">
        <v>385</v>
      </c>
      <c r="C1020" s="28" t="s">
        <v>110</v>
      </c>
      <c r="D1020" s="28" t="s">
        <v>19</v>
      </c>
      <c r="E1020" s="28" t="s">
        <v>404</v>
      </c>
      <c r="F1020" s="58" t="s">
        <v>0</v>
      </c>
      <c r="G1020" s="35">
        <f>G1027+G1031</f>
        <v>2018934.5</v>
      </c>
      <c r="H1020" s="35">
        <f>H1027+H1031+H1021+H1024+H1034</f>
        <v>2021510.9439999999</v>
      </c>
      <c r="I1020" s="35">
        <f t="shared" ref="I1020:K1020" si="475">I1027+I1031+I1021+I1024+I1034</f>
        <v>1476665.274</v>
      </c>
      <c r="J1020" s="35">
        <f t="shared" si="475"/>
        <v>1476665.274</v>
      </c>
      <c r="K1020" s="35">
        <f t="shared" si="475"/>
        <v>1476665.274</v>
      </c>
      <c r="L1020" s="35">
        <f t="shared" si="462"/>
        <v>73.047602259233685</v>
      </c>
      <c r="M1020" s="35">
        <f t="shared" si="463"/>
        <v>100</v>
      </c>
    </row>
    <row r="1021" spans="1:13" ht="82.5" customHeight="1">
      <c r="A1021" s="59" t="s">
        <v>1141</v>
      </c>
      <c r="B1021" s="28" t="s">
        <v>385</v>
      </c>
      <c r="C1021" s="28" t="s">
        <v>110</v>
      </c>
      <c r="D1021" s="28" t="s">
        <v>19</v>
      </c>
      <c r="E1021" s="29" t="s">
        <v>1140</v>
      </c>
      <c r="F1021" s="58"/>
      <c r="G1021" s="35"/>
      <c r="H1021" s="35">
        <f>H1022</f>
        <v>595.20000000000005</v>
      </c>
      <c r="I1021" s="35">
        <f t="shared" ref="I1021:K1022" si="476">I1022</f>
        <v>595.20000000000005</v>
      </c>
      <c r="J1021" s="35">
        <f t="shared" si="476"/>
        <v>595.20000000000005</v>
      </c>
      <c r="K1021" s="35">
        <f t="shared" si="476"/>
        <v>595.20000000000005</v>
      </c>
      <c r="L1021" s="35">
        <f t="shared" si="462"/>
        <v>100</v>
      </c>
      <c r="M1021" s="35">
        <f t="shared" si="463"/>
        <v>100</v>
      </c>
    </row>
    <row r="1022" spans="1:13">
      <c r="A1022" s="59" t="s">
        <v>68</v>
      </c>
      <c r="B1022" s="28" t="s">
        <v>385</v>
      </c>
      <c r="C1022" s="28" t="s">
        <v>110</v>
      </c>
      <c r="D1022" s="28" t="s">
        <v>19</v>
      </c>
      <c r="E1022" s="29" t="s">
        <v>1140</v>
      </c>
      <c r="F1022" s="58">
        <v>300</v>
      </c>
      <c r="G1022" s="35"/>
      <c r="H1022" s="35">
        <f>H1023</f>
        <v>595.20000000000005</v>
      </c>
      <c r="I1022" s="35">
        <f t="shared" si="476"/>
        <v>595.20000000000005</v>
      </c>
      <c r="J1022" s="35">
        <f t="shared" si="476"/>
        <v>595.20000000000005</v>
      </c>
      <c r="K1022" s="35">
        <f t="shared" si="476"/>
        <v>595.20000000000005</v>
      </c>
      <c r="L1022" s="35">
        <f t="shared" si="462"/>
        <v>100</v>
      </c>
      <c r="M1022" s="35">
        <f t="shared" si="463"/>
        <v>100</v>
      </c>
    </row>
    <row r="1023" spans="1:13">
      <c r="A1023" s="59" t="s">
        <v>70</v>
      </c>
      <c r="B1023" s="28" t="s">
        <v>385</v>
      </c>
      <c r="C1023" s="28" t="s">
        <v>110</v>
      </c>
      <c r="D1023" s="28" t="s">
        <v>19</v>
      </c>
      <c r="E1023" s="29" t="s">
        <v>1140</v>
      </c>
      <c r="F1023" s="58">
        <v>360</v>
      </c>
      <c r="G1023" s="35"/>
      <c r="H1023" s="35">
        <v>595.20000000000005</v>
      </c>
      <c r="I1023" s="35">
        <v>595.20000000000005</v>
      </c>
      <c r="J1023" s="35">
        <v>595.20000000000005</v>
      </c>
      <c r="K1023" s="35">
        <v>595.20000000000005</v>
      </c>
      <c r="L1023" s="35">
        <f t="shared" si="462"/>
        <v>100</v>
      </c>
      <c r="M1023" s="35">
        <f t="shared" si="463"/>
        <v>100</v>
      </c>
    </row>
    <row r="1024" spans="1:13" s="91" customFormat="1" ht="40.5" customHeight="1">
      <c r="A1024" s="62" t="s">
        <v>1257</v>
      </c>
      <c r="B1024" s="28" t="s">
        <v>385</v>
      </c>
      <c r="C1024" s="28" t="s">
        <v>110</v>
      </c>
      <c r="D1024" s="28" t="s">
        <v>19</v>
      </c>
      <c r="E1024" s="29" t="s">
        <v>1263</v>
      </c>
      <c r="F1024" s="58"/>
      <c r="G1024" s="35"/>
      <c r="H1024" s="35">
        <f>H1025</f>
        <v>2281.1999999999998</v>
      </c>
      <c r="I1024" s="35">
        <f t="shared" ref="I1024:K1025" si="477">I1025</f>
        <v>1281.2</v>
      </c>
      <c r="J1024" s="35">
        <f t="shared" si="477"/>
        <v>1281.2</v>
      </c>
      <c r="K1024" s="35">
        <f t="shared" si="477"/>
        <v>1281.2</v>
      </c>
      <c r="L1024" s="35">
        <f t="shared" si="462"/>
        <v>56.163422759950912</v>
      </c>
      <c r="M1024" s="35">
        <f t="shared" si="463"/>
        <v>100</v>
      </c>
    </row>
    <row r="1025" spans="1:13" s="91" customFormat="1" ht="25.5">
      <c r="A1025" s="59" t="s">
        <v>80</v>
      </c>
      <c r="B1025" s="28" t="s">
        <v>385</v>
      </c>
      <c r="C1025" s="28" t="s">
        <v>110</v>
      </c>
      <c r="D1025" s="28" t="s">
        <v>19</v>
      </c>
      <c r="E1025" s="29" t="s">
        <v>1263</v>
      </c>
      <c r="F1025" s="28">
        <v>600</v>
      </c>
      <c r="G1025" s="35"/>
      <c r="H1025" s="35">
        <f>H1026</f>
        <v>2281.1999999999998</v>
      </c>
      <c r="I1025" s="35">
        <f t="shared" si="477"/>
        <v>1281.2</v>
      </c>
      <c r="J1025" s="35">
        <f t="shared" si="477"/>
        <v>1281.2</v>
      </c>
      <c r="K1025" s="35">
        <f t="shared" si="477"/>
        <v>1281.2</v>
      </c>
      <c r="L1025" s="35">
        <f t="shared" si="462"/>
        <v>56.163422759950912</v>
      </c>
      <c r="M1025" s="35">
        <f t="shared" si="463"/>
        <v>100</v>
      </c>
    </row>
    <row r="1026" spans="1:13" s="91" customFormat="1">
      <c r="A1026" s="59" t="s">
        <v>82</v>
      </c>
      <c r="B1026" s="28" t="s">
        <v>385</v>
      </c>
      <c r="C1026" s="28" t="s">
        <v>110</v>
      </c>
      <c r="D1026" s="28" t="s">
        <v>19</v>
      </c>
      <c r="E1026" s="29" t="s">
        <v>1263</v>
      </c>
      <c r="F1026" s="28">
        <v>620</v>
      </c>
      <c r="G1026" s="35"/>
      <c r="H1026" s="35">
        <v>2281.1999999999998</v>
      </c>
      <c r="I1026" s="35">
        <v>1281.2</v>
      </c>
      <c r="J1026" s="35">
        <v>1281.2</v>
      </c>
      <c r="K1026" s="35">
        <v>1281.2</v>
      </c>
      <c r="L1026" s="35">
        <f t="shared" si="462"/>
        <v>56.163422759950912</v>
      </c>
      <c r="M1026" s="35">
        <f t="shared" si="463"/>
        <v>100</v>
      </c>
    </row>
    <row r="1027" spans="1:13" ht="25.5">
      <c r="A1027" s="59" t="s">
        <v>76</v>
      </c>
      <c r="B1027" s="28" t="s">
        <v>385</v>
      </c>
      <c r="C1027" s="28" t="s">
        <v>110</v>
      </c>
      <c r="D1027" s="28" t="s">
        <v>19</v>
      </c>
      <c r="E1027" s="28" t="s">
        <v>405</v>
      </c>
      <c r="F1027" s="58" t="s">
        <v>0</v>
      </c>
      <c r="G1027" s="35">
        <f>G1028</f>
        <v>2010434.5</v>
      </c>
      <c r="H1027" s="35">
        <f t="shared" ref="H1027:K1027" si="478">H1028</f>
        <v>2009130.344</v>
      </c>
      <c r="I1027" s="35">
        <f t="shared" si="478"/>
        <v>1465284.6740000001</v>
      </c>
      <c r="J1027" s="35">
        <f t="shared" si="478"/>
        <v>1465284.6740000001</v>
      </c>
      <c r="K1027" s="35">
        <f t="shared" si="478"/>
        <v>1465284.6740000001</v>
      </c>
      <c r="L1027" s="35">
        <f t="shared" si="462"/>
        <v>72.931289817799893</v>
      </c>
      <c r="M1027" s="35">
        <f t="shared" si="463"/>
        <v>100</v>
      </c>
    </row>
    <row r="1028" spans="1:13" ht="25.5">
      <c r="A1028" s="59" t="s">
        <v>80</v>
      </c>
      <c r="B1028" s="28" t="s">
        <v>385</v>
      </c>
      <c r="C1028" s="28" t="s">
        <v>110</v>
      </c>
      <c r="D1028" s="28" t="s">
        <v>19</v>
      </c>
      <c r="E1028" s="28" t="s">
        <v>405</v>
      </c>
      <c r="F1028" s="28" t="s">
        <v>81</v>
      </c>
      <c r="G1028" s="35">
        <f>G1029+G1030</f>
        <v>2010434.5</v>
      </c>
      <c r="H1028" s="35">
        <f t="shared" ref="H1028:K1028" si="479">H1029+H1030</f>
        <v>2009130.344</v>
      </c>
      <c r="I1028" s="35">
        <f t="shared" si="479"/>
        <v>1465284.6740000001</v>
      </c>
      <c r="J1028" s="35">
        <f t="shared" si="479"/>
        <v>1465284.6740000001</v>
      </c>
      <c r="K1028" s="35">
        <f t="shared" si="479"/>
        <v>1465284.6740000001</v>
      </c>
      <c r="L1028" s="35">
        <f t="shared" si="462"/>
        <v>72.931289817799893</v>
      </c>
      <c r="M1028" s="35">
        <f t="shared" si="463"/>
        <v>100</v>
      </c>
    </row>
    <row r="1029" spans="1:13">
      <c r="A1029" s="59" t="s">
        <v>271</v>
      </c>
      <c r="B1029" s="28" t="s">
        <v>385</v>
      </c>
      <c r="C1029" s="28" t="s">
        <v>110</v>
      </c>
      <c r="D1029" s="28" t="s">
        <v>19</v>
      </c>
      <c r="E1029" s="28" t="s">
        <v>405</v>
      </c>
      <c r="F1029" s="28" t="s">
        <v>272</v>
      </c>
      <c r="G1029" s="35">
        <v>1076394.6000000001</v>
      </c>
      <c r="H1029" s="35">
        <f>916214.32571+166927.38729</f>
        <v>1083141.713</v>
      </c>
      <c r="I1029" s="35">
        <f>673084.95671+118960.84329</f>
        <v>792045.8</v>
      </c>
      <c r="J1029" s="35">
        <f>673084.95671+118960.84329</f>
        <v>792045.8</v>
      </c>
      <c r="K1029" s="35">
        <f>673084.95671+118960.84329</f>
        <v>792045.8</v>
      </c>
      <c r="L1029" s="35">
        <f t="shared" si="462"/>
        <v>73.124854346736811</v>
      </c>
      <c r="M1029" s="35">
        <f t="shared" si="463"/>
        <v>100</v>
      </c>
    </row>
    <row r="1030" spans="1:13">
      <c r="A1030" s="59" t="s">
        <v>82</v>
      </c>
      <c r="B1030" s="28" t="s">
        <v>385</v>
      </c>
      <c r="C1030" s="28" t="s">
        <v>110</v>
      </c>
      <c r="D1030" s="28" t="s">
        <v>19</v>
      </c>
      <c r="E1030" s="28" t="s">
        <v>405</v>
      </c>
      <c r="F1030" s="28" t="s">
        <v>83</v>
      </c>
      <c r="G1030" s="35">
        <v>934039.9</v>
      </c>
      <c r="H1030" s="35">
        <f>785712.08672+140276.54428</f>
        <v>925988.63100000005</v>
      </c>
      <c r="I1030" s="35">
        <f>575195.37472+98043.49928</f>
        <v>673238.87399999995</v>
      </c>
      <c r="J1030" s="35">
        <f>575195.37472+98043.49928</f>
        <v>673238.87399999995</v>
      </c>
      <c r="K1030" s="35">
        <f>575195.37472+98043.49928</f>
        <v>673238.87399999995</v>
      </c>
      <c r="L1030" s="35">
        <f t="shared" si="462"/>
        <v>72.704874710281402</v>
      </c>
      <c r="M1030" s="35">
        <f t="shared" si="463"/>
        <v>100</v>
      </c>
    </row>
    <row r="1031" spans="1:13" ht="38.25">
      <c r="A1031" s="59" t="s">
        <v>408</v>
      </c>
      <c r="B1031" s="28" t="s">
        <v>385</v>
      </c>
      <c r="C1031" s="28" t="s">
        <v>110</v>
      </c>
      <c r="D1031" s="28" t="s">
        <v>19</v>
      </c>
      <c r="E1031" s="28" t="s">
        <v>409</v>
      </c>
      <c r="F1031" s="58" t="s">
        <v>0</v>
      </c>
      <c r="G1031" s="35">
        <f>G1032</f>
        <v>8500</v>
      </c>
      <c r="H1031" s="35">
        <f t="shared" ref="H1031:K1032" si="480">H1032</f>
        <v>8500</v>
      </c>
      <c r="I1031" s="35">
        <f t="shared" si="480"/>
        <v>8500</v>
      </c>
      <c r="J1031" s="35">
        <f t="shared" si="480"/>
        <v>8500</v>
      </c>
      <c r="K1031" s="35">
        <f t="shared" si="480"/>
        <v>8500</v>
      </c>
      <c r="L1031" s="35">
        <f t="shared" si="462"/>
        <v>100</v>
      </c>
      <c r="M1031" s="35">
        <f t="shared" si="463"/>
        <v>100</v>
      </c>
    </row>
    <row r="1032" spans="1:13" ht="25.5">
      <c r="A1032" s="59" t="s">
        <v>39</v>
      </c>
      <c r="B1032" s="28" t="s">
        <v>385</v>
      </c>
      <c r="C1032" s="28" t="s">
        <v>110</v>
      </c>
      <c r="D1032" s="28" t="s">
        <v>19</v>
      </c>
      <c r="E1032" s="28" t="s">
        <v>409</v>
      </c>
      <c r="F1032" s="28" t="s">
        <v>40</v>
      </c>
      <c r="G1032" s="35">
        <f>G1033</f>
        <v>8500</v>
      </c>
      <c r="H1032" s="35">
        <f t="shared" si="480"/>
        <v>8500</v>
      </c>
      <c r="I1032" s="35">
        <f t="shared" si="480"/>
        <v>8500</v>
      </c>
      <c r="J1032" s="35">
        <f t="shared" si="480"/>
        <v>8500</v>
      </c>
      <c r="K1032" s="35">
        <f t="shared" si="480"/>
        <v>8500</v>
      </c>
      <c r="L1032" s="35">
        <f t="shared" si="462"/>
        <v>100</v>
      </c>
      <c r="M1032" s="35">
        <f t="shared" si="463"/>
        <v>100</v>
      </c>
    </row>
    <row r="1033" spans="1:13" ht="89.25">
      <c r="A1033" s="62" t="s">
        <v>410</v>
      </c>
      <c r="B1033" s="28" t="s">
        <v>385</v>
      </c>
      <c r="C1033" s="28" t="s">
        <v>110</v>
      </c>
      <c r="D1033" s="28" t="s">
        <v>19</v>
      </c>
      <c r="E1033" s="28" t="s">
        <v>409</v>
      </c>
      <c r="F1033" s="28" t="s">
        <v>411</v>
      </c>
      <c r="G1033" s="35">
        <v>8500</v>
      </c>
      <c r="H1033" s="35">
        <v>8500</v>
      </c>
      <c r="I1033" s="35">
        <v>8500</v>
      </c>
      <c r="J1033" s="35">
        <v>8500</v>
      </c>
      <c r="K1033" s="35">
        <v>8500</v>
      </c>
      <c r="L1033" s="35">
        <f t="shared" si="462"/>
        <v>100</v>
      </c>
      <c r="M1033" s="35">
        <f t="shared" si="463"/>
        <v>100</v>
      </c>
    </row>
    <row r="1034" spans="1:13" s="91" customFormat="1" ht="38.25" customHeight="1">
      <c r="A1034" s="62" t="s">
        <v>1116</v>
      </c>
      <c r="B1034" s="28" t="s">
        <v>385</v>
      </c>
      <c r="C1034" s="28" t="s">
        <v>110</v>
      </c>
      <c r="D1034" s="28" t="s">
        <v>19</v>
      </c>
      <c r="E1034" s="29" t="s">
        <v>1264</v>
      </c>
      <c r="F1034" s="28"/>
      <c r="G1034" s="35"/>
      <c r="H1034" s="35">
        <f>H1035</f>
        <v>1004.2</v>
      </c>
      <c r="I1034" s="35">
        <f t="shared" ref="I1034:K1035" si="481">I1035</f>
        <v>1004.2</v>
      </c>
      <c r="J1034" s="35">
        <f t="shared" si="481"/>
        <v>1004.2</v>
      </c>
      <c r="K1034" s="35">
        <f t="shared" si="481"/>
        <v>1004.2</v>
      </c>
      <c r="L1034" s="35">
        <f t="shared" si="462"/>
        <v>100</v>
      </c>
      <c r="M1034" s="35">
        <f t="shared" si="463"/>
        <v>100</v>
      </c>
    </row>
    <row r="1035" spans="1:13" s="91" customFormat="1" ht="25.5">
      <c r="A1035" s="59" t="s">
        <v>80</v>
      </c>
      <c r="B1035" s="28" t="s">
        <v>385</v>
      </c>
      <c r="C1035" s="28" t="s">
        <v>110</v>
      </c>
      <c r="D1035" s="28" t="s">
        <v>19</v>
      </c>
      <c r="E1035" s="29" t="s">
        <v>1264</v>
      </c>
      <c r="F1035" s="28">
        <v>600</v>
      </c>
      <c r="G1035" s="35"/>
      <c r="H1035" s="35">
        <f>H1036</f>
        <v>1004.2</v>
      </c>
      <c r="I1035" s="35">
        <f t="shared" si="481"/>
        <v>1004.2</v>
      </c>
      <c r="J1035" s="35">
        <f t="shared" si="481"/>
        <v>1004.2</v>
      </c>
      <c r="K1035" s="35">
        <f t="shared" si="481"/>
        <v>1004.2</v>
      </c>
      <c r="L1035" s="35">
        <f t="shared" si="462"/>
        <v>100</v>
      </c>
      <c r="M1035" s="35">
        <f t="shared" si="463"/>
        <v>100</v>
      </c>
    </row>
    <row r="1036" spans="1:13" s="91" customFormat="1">
      <c r="A1036" s="59" t="s">
        <v>82</v>
      </c>
      <c r="B1036" s="28" t="s">
        <v>385</v>
      </c>
      <c r="C1036" s="28" t="s">
        <v>110</v>
      </c>
      <c r="D1036" s="28" t="s">
        <v>19</v>
      </c>
      <c r="E1036" s="29" t="s">
        <v>1264</v>
      </c>
      <c r="F1036" s="28">
        <v>620</v>
      </c>
      <c r="G1036" s="35"/>
      <c r="H1036" s="35">
        <v>1004.2</v>
      </c>
      <c r="I1036" s="35">
        <v>1004.2</v>
      </c>
      <c r="J1036" s="35">
        <v>1004.2</v>
      </c>
      <c r="K1036" s="35">
        <v>1004.2</v>
      </c>
      <c r="L1036" s="35">
        <f t="shared" si="462"/>
        <v>100</v>
      </c>
      <c r="M1036" s="35">
        <f t="shared" si="463"/>
        <v>100</v>
      </c>
    </row>
    <row r="1037" spans="1:13">
      <c r="A1037" s="62" t="s">
        <v>612</v>
      </c>
      <c r="B1037" s="28" t="s">
        <v>385</v>
      </c>
      <c r="C1037" s="28" t="s">
        <v>110</v>
      </c>
      <c r="D1037" s="28" t="s">
        <v>19</v>
      </c>
      <c r="E1037" s="29" t="s">
        <v>613</v>
      </c>
      <c r="F1037" s="28"/>
      <c r="G1037" s="35"/>
      <c r="H1037" s="35">
        <f>H1038</f>
        <v>281.19499999999999</v>
      </c>
      <c r="I1037" s="35">
        <f t="shared" ref="I1037:K1038" si="482">I1038</f>
        <v>281.19499999999999</v>
      </c>
      <c r="J1037" s="35">
        <f t="shared" si="482"/>
        <v>281.19499999999999</v>
      </c>
      <c r="K1037" s="35">
        <f t="shared" si="482"/>
        <v>281.19499999999999</v>
      </c>
      <c r="L1037" s="35">
        <f t="shared" si="462"/>
        <v>100</v>
      </c>
      <c r="M1037" s="35">
        <f t="shared" si="463"/>
        <v>100</v>
      </c>
    </row>
    <row r="1038" spans="1:13">
      <c r="A1038" s="62" t="s">
        <v>612</v>
      </c>
      <c r="B1038" s="28" t="s">
        <v>385</v>
      </c>
      <c r="C1038" s="28" t="s">
        <v>110</v>
      </c>
      <c r="D1038" s="28" t="s">
        <v>19</v>
      </c>
      <c r="E1038" s="29" t="s">
        <v>614</v>
      </c>
      <c r="F1038" s="28"/>
      <c r="G1038" s="35"/>
      <c r="H1038" s="35">
        <f>H1039</f>
        <v>281.19499999999999</v>
      </c>
      <c r="I1038" s="35">
        <f t="shared" si="482"/>
        <v>281.19499999999999</v>
      </c>
      <c r="J1038" s="35">
        <f t="shared" si="482"/>
        <v>281.19499999999999</v>
      </c>
      <c r="K1038" s="35">
        <f t="shared" si="482"/>
        <v>281.19499999999999</v>
      </c>
      <c r="L1038" s="35">
        <f t="shared" si="462"/>
        <v>100</v>
      </c>
      <c r="M1038" s="35">
        <f t="shared" si="463"/>
        <v>100</v>
      </c>
    </row>
    <row r="1039" spans="1:13" ht="25.5">
      <c r="A1039" s="59" t="s">
        <v>80</v>
      </c>
      <c r="B1039" s="28" t="s">
        <v>385</v>
      </c>
      <c r="C1039" s="28" t="s">
        <v>110</v>
      </c>
      <c r="D1039" s="28" t="s">
        <v>19</v>
      </c>
      <c r="E1039" s="29" t="s">
        <v>614</v>
      </c>
      <c r="F1039" s="28">
        <v>600</v>
      </c>
      <c r="G1039" s="35"/>
      <c r="H1039" s="35">
        <f>H1040+H1041</f>
        <v>281.19499999999999</v>
      </c>
      <c r="I1039" s="35">
        <f t="shared" ref="I1039:K1039" si="483">I1040+I1041</f>
        <v>281.19499999999999</v>
      </c>
      <c r="J1039" s="35">
        <f t="shared" si="483"/>
        <v>281.19499999999999</v>
      </c>
      <c r="K1039" s="35">
        <f t="shared" si="483"/>
        <v>281.19499999999999</v>
      </c>
      <c r="L1039" s="35">
        <f t="shared" si="462"/>
        <v>100</v>
      </c>
      <c r="M1039" s="35">
        <f t="shared" si="463"/>
        <v>100</v>
      </c>
    </row>
    <row r="1040" spans="1:13">
      <c r="A1040" s="59" t="s">
        <v>271</v>
      </c>
      <c r="B1040" s="28" t="s">
        <v>385</v>
      </c>
      <c r="C1040" s="28" t="s">
        <v>110</v>
      </c>
      <c r="D1040" s="28" t="s">
        <v>19</v>
      </c>
      <c r="E1040" s="29" t="s">
        <v>614</v>
      </c>
      <c r="F1040" s="28">
        <v>610</v>
      </c>
      <c r="G1040" s="35"/>
      <c r="H1040" s="35">
        <v>181.19499999999999</v>
      </c>
      <c r="I1040" s="35">
        <v>181.19499999999999</v>
      </c>
      <c r="J1040" s="35">
        <v>181.19499999999999</v>
      </c>
      <c r="K1040" s="35">
        <v>181.19499999999999</v>
      </c>
      <c r="L1040" s="35">
        <f t="shared" si="462"/>
        <v>100</v>
      </c>
      <c r="M1040" s="35">
        <f t="shared" si="463"/>
        <v>100</v>
      </c>
    </row>
    <row r="1041" spans="1:13" s="91" customFormat="1">
      <c r="A1041" s="59" t="s">
        <v>82</v>
      </c>
      <c r="B1041" s="28" t="s">
        <v>385</v>
      </c>
      <c r="C1041" s="28" t="s">
        <v>110</v>
      </c>
      <c r="D1041" s="28" t="s">
        <v>19</v>
      </c>
      <c r="E1041" s="29" t="s">
        <v>614</v>
      </c>
      <c r="F1041" s="28">
        <v>620</v>
      </c>
      <c r="G1041" s="35"/>
      <c r="H1041" s="35">
        <v>100</v>
      </c>
      <c r="I1041" s="35">
        <v>100</v>
      </c>
      <c r="J1041" s="35">
        <v>100</v>
      </c>
      <c r="K1041" s="35">
        <v>100</v>
      </c>
      <c r="L1041" s="35">
        <f t="shared" si="462"/>
        <v>100</v>
      </c>
      <c r="M1041" s="35">
        <f t="shared" si="463"/>
        <v>100</v>
      </c>
    </row>
    <row r="1042" spans="1:13" ht="25.5">
      <c r="A1042" s="59" t="s">
        <v>288</v>
      </c>
      <c r="B1042" s="28" t="s">
        <v>385</v>
      </c>
      <c r="C1042" s="28" t="s">
        <v>110</v>
      </c>
      <c r="D1042" s="28" t="s">
        <v>93</v>
      </c>
      <c r="E1042" s="58" t="s">
        <v>0</v>
      </c>
      <c r="F1042" s="58" t="s">
        <v>0</v>
      </c>
      <c r="G1042" s="35">
        <f>G1043</f>
        <v>93378.6</v>
      </c>
      <c r="H1042" s="35">
        <f t="shared" ref="H1042:K1046" si="484">H1043</f>
        <v>95378.599999999991</v>
      </c>
      <c r="I1042" s="35">
        <f t="shared" si="484"/>
        <v>71402.399999999994</v>
      </c>
      <c r="J1042" s="35">
        <f t="shared" si="484"/>
        <v>71402.399999999994</v>
      </c>
      <c r="K1042" s="35">
        <f t="shared" si="484"/>
        <v>71402.399999999994</v>
      </c>
      <c r="L1042" s="35">
        <f t="shared" si="462"/>
        <v>74.862075979307733</v>
      </c>
      <c r="M1042" s="35">
        <f t="shared" si="463"/>
        <v>100</v>
      </c>
    </row>
    <row r="1043" spans="1:13" ht="38.25">
      <c r="A1043" s="59" t="s">
        <v>112</v>
      </c>
      <c r="B1043" s="28" t="s">
        <v>385</v>
      </c>
      <c r="C1043" s="28" t="s">
        <v>110</v>
      </c>
      <c r="D1043" s="28" t="s">
        <v>93</v>
      </c>
      <c r="E1043" s="28" t="s">
        <v>113</v>
      </c>
      <c r="F1043" s="58" t="s">
        <v>0</v>
      </c>
      <c r="G1043" s="35">
        <f>G1044</f>
        <v>93378.6</v>
      </c>
      <c r="H1043" s="35">
        <f t="shared" si="484"/>
        <v>95378.599999999991</v>
      </c>
      <c r="I1043" s="35">
        <f t="shared" si="484"/>
        <v>71402.399999999994</v>
      </c>
      <c r="J1043" s="35">
        <f t="shared" si="484"/>
        <v>71402.399999999994</v>
      </c>
      <c r="K1043" s="35">
        <f t="shared" si="484"/>
        <v>71402.399999999994</v>
      </c>
      <c r="L1043" s="35">
        <f t="shared" si="462"/>
        <v>74.862075979307733</v>
      </c>
      <c r="M1043" s="35">
        <f t="shared" si="463"/>
        <v>100</v>
      </c>
    </row>
    <row r="1044" spans="1:13" ht="25.5">
      <c r="A1044" s="59" t="s">
        <v>412</v>
      </c>
      <c r="B1044" s="28" t="s">
        <v>385</v>
      </c>
      <c r="C1044" s="28" t="s">
        <v>110</v>
      </c>
      <c r="D1044" s="28" t="s">
        <v>93</v>
      </c>
      <c r="E1044" s="28" t="s">
        <v>413</v>
      </c>
      <c r="F1044" s="58" t="s">
        <v>0</v>
      </c>
      <c r="G1044" s="35">
        <f>G1045+G1048</f>
        <v>93378.6</v>
      </c>
      <c r="H1044" s="35">
        <f t="shared" ref="H1044:K1044" si="485">H1045+H1048</f>
        <v>95378.599999999991</v>
      </c>
      <c r="I1044" s="35">
        <f t="shared" si="485"/>
        <v>71402.399999999994</v>
      </c>
      <c r="J1044" s="35">
        <f t="shared" si="485"/>
        <v>71402.399999999994</v>
      </c>
      <c r="K1044" s="35">
        <f t="shared" si="485"/>
        <v>71402.399999999994</v>
      </c>
      <c r="L1044" s="35">
        <f t="shared" si="462"/>
        <v>74.862075979307733</v>
      </c>
      <c r="M1044" s="35">
        <f t="shared" si="463"/>
        <v>100</v>
      </c>
    </row>
    <row r="1045" spans="1:13" ht="25.5">
      <c r="A1045" s="59" t="s">
        <v>76</v>
      </c>
      <c r="B1045" s="28" t="s">
        <v>385</v>
      </c>
      <c r="C1045" s="28" t="s">
        <v>110</v>
      </c>
      <c r="D1045" s="28" t="s">
        <v>93</v>
      </c>
      <c r="E1045" s="28" t="s">
        <v>414</v>
      </c>
      <c r="F1045" s="58" t="s">
        <v>0</v>
      </c>
      <c r="G1045" s="35">
        <f>G1046</f>
        <v>91555.6</v>
      </c>
      <c r="H1045" s="35">
        <f t="shared" si="484"/>
        <v>93555.616639999993</v>
      </c>
      <c r="I1045" s="35">
        <f t="shared" si="484"/>
        <v>69755.72064</v>
      </c>
      <c r="J1045" s="35">
        <f t="shared" si="484"/>
        <v>69755.72064</v>
      </c>
      <c r="K1045" s="35">
        <f t="shared" si="484"/>
        <v>69755.72064</v>
      </c>
      <c r="L1045" s="35">
        <f t="shared" si="462"/>
        <v>74.560697845024649</v>
      </c>
      <c r="M1045" s="35">
        <f t="shared" si="463"/>
        <v>100</v>
      </c>
    </row>
    <row r="1046" spans="1:13" ht="25.5">
      <c r="A1046" s="59" t="s">
        <v>80</v>
      </c>
      <c r="B1046" s="28" t="s">
        <v>385</v>
      </c>
      <c r="C1046" s="28" t="s">
        <v>110</v>
      </c>
      <c r="D1046" s="28" t="s">
        <v>93</v>
      </c>
      <c r="E1046" s="28" t="s">
        <v>414</v>
      </c>
      <c r="F1046" s="28" t="s">
        <v>81</v>
      </c>
      <c r="G1046" s="35">
        <f>G1047</f>
        <v>91555.6</v>
      </c>
      <c r="H1046" s="35">
        <f t="shared" si="484"/>
        <v>93555.616639999993</v>
      </c>
      <c r="I1046" s="35">
        <f t="shared" si="484"/>
        <v>69755.72064</v>
      </c>
      <c r="J1046" s="35">
        <f t="shared" si="484"/>
        <v>69755.72064</v>
      </c>
      <c r="K1046" s="35">
        <f t="shared" si="484"/>
        <v>69755.72064</v>
      </c>
      <c r="L1046" s="35">
        <f t="shared" si="462"/>
        <v>74.560697845024649</v>
      </c>
      <c r="M1046" s="35">
        <f t="shared" si="463"/>
        <v>100</v>
      </c>
    </row>
    <row r="1047" spans="1:13">
      <c r="A1047" s="59" t="s">
        <v>82</v>
      </c>
      <c r="B1047" s="28" t="s">
        <v>385</v>
      </c>
      <c r="C1047" s="28" t="s">
        <v>110</v>
      </c>
      <c r="D1047" s="28" t="s">
        <v>93</v>
      </c>
      <c r="E1047" s="28" t="s">
        <v>414</v>
      </c>
      <c r="F1047" s="28" t="s">
        <v>83</v>
      </c>
      <c r="G1047" s="35">
        <v>91555.6</v>
      </c>
      <c r="H1047" s="35">
        <v>93555.616639999993</v>
      </c>
      <c r="I1047" s="35">
        <v>69755.72064</v>
      </c>
      <c r="J1047" s="35">
        <v>69755.72064</v>
      </c>
      <c r="K1047" s="35">
        <v>69755.72064</v>
      </c>
      <c r="L1047" s="35">
        <f t="shared" si="462"/>
        <v>74.560697845024649</v>
      </c>
      <c r="M1047" s="35">
        <f t="shared" si="463"/>
        <v>100</v>
      </c>
    </row>
    <row r="1048" spans="1:13" s="88" customFormat="1" ht="41.25" customHeight="1">
      <c r="A1048" s="59" t="s">
        <v>1240</v>
      </c>
      <c r="B1048" s="28" t="s">
        <v>385</v>
      </c>
      <c r="C1048" s="28" t="s">
        <v>110</v>
      </c>
      <c r="D1048" s="28" t="s">
        <v>93</v>
      </c>
      <c r="E1048" s="29" t="s">
        <v>1239</v>
      </c>
      <c r="F1048" s="28"/>
      <c r="G1048" s="35">
        <f>G1049</f>
        <v>1823</v>
      </c>
      <c r="H1048" s="35">
        <f t="shared" ref="H1048:K1049" si="486">H1049</f>
        <v>1822.9833599999999</v>
      </c>
      <c r="I1048" s="35">
        <f t="shared" si="486"/>
        <v>1646.6793600000001</v>
      </c>
      <c r="J1048" s="35">
        <f t="shared" si="486"/>
        <v>1646.6793600000001</v>
      </c>
      <c r="K1048" s="35">
        <f t="shared" si="486"/>
        <v>1646.6793600000001</v>
      </c>
      <c r="L1048" s="35">
        <f t="shared" si="462"/>
        <v>90.32882011605416</v>
      </c>
      <c r="M1048" s="35">
        <f t="shared" si="463"/>
        <v>100</v>
      </c>
    </row>
    <row r="1049" spans="1:13" s="88" customFormat="1" ht="25.5">
      <c r="A1049" s="59" t="s">
        <v>80</v>
      </c>
      <c r="B1049" s="28" t="s">
        <v>385</v>
      </c>
      <c r="C1049" s="28" t="s">
        <v>110</v>
      </c>
      <c r="D1049" s="28" t="s">
        <v>93</v>
      </c>
      <c r="E1049" s="29" t="s">
        <v>1239</v>
      </c>
      <c r="F1049" s="28">
        <v>600</v>
      </c>
      <c r="G1049" s="35">
        <f>G1050</f>
        <v>1823</v>
      </c>
      <c r="H1049" s="35">
        <f t="shared" si="486"/>
        <v>1822.9833599999999</v>
      </c>
      <c r="I1049" s="35">
        <f t="shared" si="486"/>
        <v>1646.6793600000001</v>
      </c>
      <c r="J1049" s="35">
        <f t="shared" si="486"/>
        <v>1646.6793600000001</v>
      </c>
      <c r="K1049" s="35">
        <f t="shared" si="486"/>
        <v>1646.6793600000001</v>
      </c>
      <c r="L1049" s="35">
        <f t="shared" si="462"/>
        <v>90.32882011605416</v>
      </c>
      <c r="M1049" s="35">
        <f t="shared" si="463"/>
        <v>100</v>
      </c>
    </row>
    <row r="1050" spans="1:13" s="88" customFormat="1">
      <c r="A1050" s="59" t="s">
        <v>82</v>
      </c>
      <c r="B1050" s="28" t="s">
        <v>385</v>
      </c>
      <c r="C1050" s="28" t="s">
        <v>110</v>
      </c>
      <c r="D1050" s="28" t="s">
        <v>93</v>
      </c>
      <c r="E1050" s="29" t="s">
        <v>1239</v>
      </c>
      <c r="F1050" s="28">
        <v>620</v>
      </c>
      <c r="G1050" s="35">
        <v>1823</v>
      </c>
      <c r="H1050" s="35">
        <v>1822.9833599999999</v>
      </c>
      <c r="I1050" s="35">
        <v>1646.6793600000001</v>
      </c>
      <c r="J1050" s="35">
        <v>1646.6793600000001</v>
      </c>
      <c r="K1050" s="35">
        <v>1646.6793600000001</v>
      </c>
      <c r="L1050" s="35">
        <f t="shared" si="462"/>
        <v>90.32882011605416</v>
      </c>
      <c r="M1050" s="35">
        <f t="shared" si="463"/>
        <v>100</v>
      </c>
    </row>
    <row r="1051" spans="1:13">
      <c r="A1051" s="59" t="s">
        <v>415</v>
      </c>
      <c r="B1051" s="28" t="s">
        <v>385</v>
      </c>
      <c r="C1051" s="28" t="s">
        <v>110</v>
      </c>
      <c r="D1051" s="28" t="s">
        <v>110</v>
      </c>
      <c r="E1051" s="58" t="s">
        <v>0</v>
      </c>
      <c r="F1051" s="58" t="s">
        <v>0</v>
      </c>
      <c r="G1051" s="35">
        <f>G1052</f>
        <v>43760</v>
      </c>
      <c r="H1051" s="35">
        <f t="shared" ref="H1051:K1054" si="487">H1052</f>
        <v>43760</v>
      </c>
      <c r="I1051" s="35">
        <f t="shared" si="487"/>
        <v>43760</v>
      </c>
      <c r="J1051" s="35">
        <f t="shared" si="487"/>
        <v>43760</v>
      </c>
      <c r="K1051" s="35">
        <f t="shared" si="487"/>
        <v>43710.335200000001</v>
      </c>
      <c r="L1051" s="35">
        <f t="shared" si="462"/>
        <v>99.886506398537477</v>
      </c>
      <c r="M1051" s="35">
        <f t="shared" si="463"/>
        <v>99.886506398537477</v>
      </c>
    </row>
    <row r="1052" spans="1:13" ht="38.25">
      <c r="A1052" s="59" t="s">
        <v>299</v>
      </c>
      <c r="B1052" s="28" t="s">
        <v>385</v>
      </c>
      <c r="C1052" s="28" t="s">
        <v>110</v>
      </c>
      <c r="D1052" s="28" t="s">
        <v>110</v>
      </c>
      <c r="E1052" s="28" t="s">
        <v>300</v>
      </c>
      <c r="F1052" s="58" t="s">
        <v>0</v>
      </c>
      <c r="G1052" s="35">
        <f>G1053</f>
        <v>43760</v>
      </c>
      <c r="H1052" s="35">
        <f t="shared" si="487"/>
        <v>43760</v>
      </c>
      <c r="I1052" s="35">
        <f t="shared" si="487"/>
        <v>43760</v>
      </c>
      <c r="J1052" s="35">
        <f t="shared" si="487"/>
        <v>43760</v>
      </c>
      <c r="K1052" s="35">
        <f t="shared" si="487"/>
        <v>43710.335200000001</v>
      </c>
      <c r="L1052" s="35">
        <f t="shared" si="462"/>
        <v>99.886506398537477</v>
      </c>
      <c r="M1052" s="35">
        <f t="shared" si="463"/>
        <v>99.886506398537477</v>
      </c>
    </row>
    <row r="1053" spans="1:13" ht="25.5">
      <c r="A1053" s="59" t="s">
        <v>416</v>
      </c>
      <c r="B1053" s="28" t="s">
        <v>385</v>
      </c>
      <c r="C1053" s="28" t="s">
        <v>110</v>
      </c>
      <c r="D1053" s="28" t="s">
        <v>110</v>
      </c>
      <c r="E1053" s="28" t="s">
        <v>417</v>
      </c>
      <c r="F1053" s="58" t="s">
        <v>0</v>
      </c>
      <c r="G1053" s="35">
        <f>G1054</f>
        <v>43760</v>
      </c>
      <c r="H1053" s="35">
        <f t="shared" si="487"/>
        <v>43760</v>
      </c>
      <c r="I1053" s="35">
        <f t="shared" si="487"/>
        <v>43760</v>
      </c>
      <c r="J1053" s="35">
        <f t="shared" si="487"/>
        <v>43760</v>
      </c>
      <c r="K1053" s="35">
        <f t="shared" si="487"/>
        <v>43710.335200000001</v>
      </c>
      <c r="L1053" s="35">
        <f t="shared" si="462"/>
        <v>99.886506398537477</v>
      </c>
      <c r="M1053" s="35">
        <f t="shared" si="463"/>
        <v>99.886506398537477</v>
      </c>
    </row>
    <row r="1054" spans="1:13">
      <c r="A1054" s="59" t="s">
        <v>418</v>
      </c>
      <c r="B1054" s="28" t="s">
        <v>385</v>
      </c>
      <c r="C1054" s="28" t="s">
        <v>110</v>
      </c>
      <c r="D1054" s="28" t="s">
        <v>110</v>
      </c>
      <c r="E1054" s="28" t="s">
        <v>419</v>
      </c>
      <c r="F1054" s="58" t="s">
        <v>0</v>
      </c>
      <c r="G1054" s="35">
        <f>G1055</f>
        <v>43760</v>
      </c>
      <c r="H1054" s="35">
        <f t="shared" si="487"/>
        <v>43760</v>
      </c>
      <c r="I1054" s="35">
        <f t="shared" si="487"/>
        <v>43760</v>
      </c>
      <c r="J1054" s="35">
        <f t="shared" si="487"/>
        <v>43760</v>
      </c>
      <c r="K1054" s="35">
        <f t="shared" si="487"/>
        <v>43710.335200000001</v>
      </c>
      <c r="L1054" s="35">
        <f t="shared" si="462"/>
        <v>99.886506398537477</v>
      </c>
      <c r="M1054" s="35">
        <f t="shared" si="463"/>
        <v>99.886506398537477</v>
      </c>
    </row>
    <row r="1055" spans="1:13" ht="25.5">
      <c r="A1055" s="59" t="s">
        <v>80</v>
      </c>
      <c r="B1055" s="28" t="s">
        <v>385</v>
      </c>
      <c r="C1055" s="28" t="s">
        <v>110</v>
      </c>
      <c r="D1055" s="28" t="s">
        <v>110</v>
      </c>
      <c r="E1055" s="28" t="s">
        <v>419</v>
      </c>
      <c r="F1055" s="28" t="s">
        <v>81</v>
      </c>
      <c r="G1055" s="35">
        <f>G1056+G1057</f>
        <v>43760</v>
      </c>
      <c r="H1055" s="35">
        <f t="shared" ref="H1055:K1055" si="488">H1056+H1057</f>
        <v>43760</v>
      </c>
      <c r="I1055" s="35">
        <f t="shared" si="488"/>
        <v>43760</v>
      </c>
      <c r="J1055" s="35">
        <f t="shared" si="488"/>
        <v>43760</v>
      </c>
      <c r="K1055" s="35">
        <f t="shared" si="488"/>
        <v>43710.335200000001</v>
      </c>
      <c r="L1055" s="35">
        <f t="shared" si="462"/>
        <v>99.886506398537477</v>
      </c>
      <c r="M1055" s="35">
        <f t="shared" si="463"/>
        <v>99.886506398537477</v>
      </c>
    </row>
    <row r="1056" spans="1:13">
      <c r="A1056" s="59" t="s">
        <v>271</v>
      </c>
      <c r="B1056" s="28" t="s">
        <v>385</v>
      </c>
      <c r="C1056" s="28" t="s">
        <v>110</v>
      </c>
      <c r="D1056" s="28" t="s">
        <v>110</v>
      </c>
      <c r="E1056" s="28" t="s">
        <v>419</v>
      </c>
      <c r="F1056" s="28" t="s">
        <v>272</v>
      </c>
      <c r="G1056" s="35">
        <v>41760</v>
      </c>
      <c r="H1056" s="35">
        <v>41760</v>
      </c>
      <c r="I1056" s="35">
        <v>41760</v>
      </c>
      <c r="J1056" s="35">
        <v>41760</v>
      </c>
      <c r="K1056" s="35">
        <v>41713.036</v>
      </c>
      <c r="L1056" s="35">
        <f t="shared" si="462"/>
        <v>99.887538314176254</v>
      </c>
      <c r="M1056" s="35">
        <f t="shared" si="463"/>
        <v>99.887538314176254</v>
      </c>
    </row>
    <row r="1057" spans="1:13">
      <c r="A1057" s="59" t="s">
        <v>82</v>
      </c>
      <c r="B1057" s="28" t="s">
        <v>385</v>
      </c>
      <c r="C1057" s="28" t="s">
        <v>110</v>
      </c>
      <c r="D1057" s="28" t="s">
        <v>110</v>
      </c>
      <c r="E1057" s="28" t="s">
        <v>419</v>
      </c>
      <c r="F1057" s="28" t="s">
        <v>83</v>
      </c>
      <c r="G1057" s="35">
        <v>2000</v>
      </c>
      <c r="H1057" s="35">
        <v>2000</v>
      </c>
      <c r="I1057" s="35">
        <v>2000</v>
      </c>
      <c r="J1057" s="35">
        <v>2000</v>
      </c>
      <c r="K1057" s="35">
        <v>1997.2991999999999</v>
      </c>
      <c r="L1057" s="35">
        <f t="shared" si="462"/>
        <v>99.864959999999996</v>
      </c>
      <c r="M1057" s="35">
        <f t="shared" si="463"/>
        <v>99.864959999999996</v>
      </c>
    </row>
    <row r="1058" spans="1:13" ht="25.5">
      <c r="A1058" s="59" t="s">
        <v>420</v>
      </c>
      <c r="B1058" s="28" t="s">
        <v>385</v>
      </c>
      <c r="C1058" s="28" t="s">
        <v>110</v>
      </c>
      <c r="D1058" s="28" t="s">
        <v>130</v>
      </c>
      <c r="E1058" s="58" t="s">
        <v>0</v>
      </c>
      <c r="F1058" s="58" t="s">
        <v>0</v>
      </c>
      <c r="G1058" s="35">
        <f>G1059</f>
        <v>4202.8</v>
      </c>
      <c r="H1058" s="35">
        <f>H1059+H1064</f>
        <v>4502.7860000000001</v>
      </c>
      <c r="I1058" s="35">
        <f t="shared" ref="I1058:K1058" si="489">I1059+I1064</f>
        <v>3357.7130000000002</v>
      </c>
      <c r="J1058" s="35">
        <f t="shared" si="489"/>
        <v>3357.7130000000002</v>
      </c>
      <c r="K1058" s="35">
        <f t="shared" si="489"/>
        <v>3357.7130000000002</v>
      </c>
      <c r="L1058" s="35">
        <f t="shared" si="462"/>
        <v>74.569677528534555</v>
      </c>
      <c r="M1058" s="35">
        <f t="shared" si="463"/>
        <v>100</v>
      </c>
    </row>
    <row r="1059" spans="1:13" ht="38.25">
      <c r="A1059" s="59" t="s">
        <v>112</v>
      </c>
      <c r="B1059" s="28" t="s">
        <v>385</v>
      </c>
      <c r="C1059" s="28" t="s">
        <v>110</v>
      </c>
      <c r="D1059" s="28" t="s">
        <v>130</v>
      </c>
      <c r="E1059" s="28" t="s">
        <v>113</v>
      </c>
      <c r="F1059" s="58" t="s">
        <v>0</v>
      </c>
      <c r="G1059" s="35">
        <f>G1060</f>
        <v>4202.8</v>
      </c>
      <c r="H1059" s="35">
        <f t="shared" ref="H1059:K1062" si="490">H1060</f>
        <v>4202.7860000000001</v>
      </c>
      <c r="I1059" s="35">
        <f t="shared" si="490"/>
        <v>3057.7130000000002</v>
      </c>
      <c r="J1059" s="35">
        <f t="shared" si="490"/>
        <v>3057.7130000000002</v>
      </c>
      <c r="K1059" s="35">
        <f t="shared" si="490"/>
        <v>3057.7130000000002</v>
      </c>
      <c r="L1059" s="35">
        <f t="shared" ref="L1059:L1122" si="491">K1059/H1059*100</f>
        <v>72.754430037598866</v>
      </c>
      <c r="M1059" s="35">
        <f t="shared" ref="M1059:M1120" si="492">K1059/I1059*100</f>
        <v>100</v>
      </c>
    </row>
    <row r="1060" spans="1:13" ht="38.25">
      <c r="A1060" s="59" t="s">
        <v>392</v>
      </c>
      <c r="B1060" s="28" t="s">
        <v>385</v>
      </c>
      <c r="C1060" s="28" t="s">
        <v>110</v>
      </c>
      <c r="D1060" s="28" t="s">
        <v>130</v>
      </c>
      <c r="E1060" s="28" t="s">
        <v>393</v>
      </c>
      <c r="F1060" s="58" t="s">
        <v>0</v>
      </c>
      <c r="G1060" s="35">
        <f>G1061</f>
        <v>4202.8</v>
      </c>
      <c r="H1060" s="35">
        <f t="shared" si="490"/>
        <v>4202.7860000000001</v>
      </c>
      <c r="I1060" s="35">
        <f t="shared" si="490"/>
        <v>3057.7130000000002</v>
      </c>
      <c r="J1060" s="35">
        <f t="shared" si="490"/>
        <v>3057.7130000000002</v>
      </c>
      <c r="K1060" s="35">
        <f t="shared" si="490"/>
        <v>3057.7130000000002</v>
      </c>
      <c r="L1060" s="35">
        <f t="shared" si="491"/>
        <v>72.754430037598866</v>
      </c>
      <c r="M1060" s="35">
        <f t="shared" si="492"/>
        <v>100</v>
      </c>
    </row>
    <row r="1061" spans="1:13" ht="25.5">
      <c r="A1061" s="59" t="s">
        <v>76</v>
      </c>
      <c r="B1061" s="28" t="s">
        <v>385</v>
      </c>
      <c r="C1061" s="28" t="s">
        <v>110</v>
      </c>
      <c r="D1061" s="28" t="s">
        <v>130</v>
      </c>
      <c r="E1061" s="28" t="s">
        <v>421</v>
      </c>
      <c r="F1061" s="58" t="s">
        <v>0</v>
      </c>
      <c r="G1061" s="35">
        <f>G1062</f>
        <v>4202.8</v>
      </c>
      <c r="H1061" s="35">
        <f t="shared" si="490"/>
        <v>4202.7860000000001</v>
      </c>
      <c r="I1061" s="35">
        <f t="shared" si="490"/>
        <v>3057.7130000000002</v>
      </c>
      <c r="J1061" s="35">
        <f t="shared" si="490"/>
        <v>3057.7130000000002</v>
      </c>
      <c r="K1061" s="35">
        <f t="shared" si="490"/>
        <v>3057.7130000000002</v>
      </c>
      <c r="L1061" s="35">
        <f t="shared" si="491"/>
        <v>72.754430037598866</v>
      </c>
      <c r="M1061" s="35">
        <f t="shared" si="492"/>
        <v>100</v>
      </c>
    </row>
    <row r="1062" spans="1:13" ht="25.5">
      <c r="A1062" s="59" t="s">
        <v>80</v>
      </c>
      <c r="B1062" s="28" t="s">
        <v>385</v>
      </c>
      <c r="C1062" s="28" t="s">
        <v>110</v>
      </c>
      <c r="D1062" s="28" t="s">
        <v>130</v>
      </c>
      <c r="E1062" s="28" t="s">
        <v>421</v>
      </c>
      <c r="F1062" s="28" t="s">
        <v>81</v>
      </c>
      <c r="G1062" s="63">
        <f>G1063</f>
        <v>4202.8</v>
      </c>
      <c r="H1062" s="63">
        <f t="shared" si="490"/>
        <v>4202.7860000000001</v>
      </c>
      <c r="I1062" s="63">
        <f t="shared" si="490"/>
        <v>3057.7130000000002</v>
      </c>
      <c r="J1062" s="63">
        <f t="shared" si="490"/>
        <v>3057.7130000000002</v>
      </c>
      <c r="K1062" s="63">
        <f t="shared" si="490"/>
        <v>3057.7130000000002</v>
      </c>
      <c r="L1062" s="35">
        <f t="shared" si="491"/>
        <v>72.754430037598866</v>
      </c>
      <c r="M1062" s="35">
        <f t="shared" si="492"/>
        <v>100</v>
      </c>
    </row>
    <row r="1063" spans="1:13">
      <c r="A1063" s="59" t="s">
        <v>271</v>
      </c>
      <c r="B1063" s="28" t="s">
        <v>385</v>
      </c>
      <c r="C1063" s="28" t="s">
        <v>110</v>
      </c>
      <c r="D1063" s="28" t="s">
        <v>130</v>
      </c>
      <c r="E1063" s="28" t="s">
        <v>421</v>
      </c>
      <c r="F1063" s="28" t="s">
        <v>272</v>
      </c>
      <c r="G1063" s="35">
        <v>4202.8</v>
      </c>
      <c r="H1063" s="35">
        <v>4202.7860000000001</v>
      </c>
      <c r="I1063" s="35">
        <v>3057.7130000000002</v>
      </c>
      <c r="J1063" s="35">
        <v>3057.7130000000002</v>
      </c>
      <c r="K1063" s="35">
        <v>3057.7130000000002</v>
      </c>
      <c r="L1063" s="35">
        <f t="shared" si="491"/>
        <v>72.754430037598866</v>
      </c>
      <c r="M1063" s="35">
        <f t="shared" si="492"/>
        <v>100</v>
      </c>
    </row>
    <row r="1064" spans="1:13">
      <c r="A1064" s="62" t="s">
        <v>612</v>
      </c>
      <c r="B1064" s="28" t="s">
        <v>385</v>
      </c>
      <c r="C1064" s="28" t="s">
        <v>110</v>
      </c>
      <c r="D1064" s="28" t="s">
        <v>130</v>
      </c>
      <c r="E1064" s="29" t="s">
        <v>613</v>
      </c>
      <c r="F1064" s="28"/>
      <c r="G1064" s="35"/>
      <c r="H1064" s="35">
        <f>H1065</f>
        <v>300</v>
      </c>
      <c r="I1064" s="35">
        <f t="shared" ref="I1064:K1066" si="493">I1065</f>
        <v>300</v>
      </c>
      <c r="J1064" s="35">
        <f t="shared" si="493"/>
        <v>300</v>
      </c>
      <c r="K1064" s="35">
        <f t="shared" si="493"/>
        <v>300</v>
      </c>
      <c r="L1064" s="35">
        <f t="shared" si="491"/>
        <v>100</v>
      </c>
      <c r="M1064" s="35">
        <f t="shared" si="492"/>
        <v>100</v>
      </c>
    </row>
    <row r="1065" spans="1:13">
      <c r="A1065" s="62" t="s">
        <v>612</v>
      </c>
      <c r="B1065" s="28" t="s">
        <v>385</v>
      </c>
      <c r="C1065" s="28" t="s">
        <v>110</v>
      </c>
      <c r="D1065" s="28" t="s">
        <v>130</v>
      </c>
      <c r="E1065" s="29" t="s">
        <v>614</v>
      </c>
      <c r="F1065" s="28"/>
      <c r="G1065" s="35"/>
      <c r="H1065" s="35">
        <f>H1066</f>
        <v>300</v>
      </c>
      <c r="I1065" s="35">
        <f t="shared" si="493"/>
        <v>300</v>
      </c>
      <c r="J1065" s="35">
        <f t="shared" si="493"/>
        <v>300</v>
      </c>
      <c r="K1065" s="35">
        <f t="shared" si="493"/>
        <v>300</v>
      </c>
      <c r="L1065" s="35">
        <f t="shared" si="491"/>
        <v>100</v>
      </c>
      <c r="M1065" s="35">
        <f t="shared" si="492"/>
        <v>100</v>
      </c>
    </row>
    <row r="1066" spans="1:13" ht="25.5">
      <c r="A1066" s="59" t="s">
        <v>80</v>
      </c>
      <c r="B1066" s="28" t="s">
        <v>385</v>
      </c>
      <c r="C1066" s="28" t="s">
        <v>110</v>
      </c>
      <c r="D1066" s="28" t="s">
        <v>130</v>
      </c>
      <c r="E1066" s="29" t="s">
        <v>614</v>
      </c>
      <c r="F1066" s="28" t="s">
        <v>81</v>
      </c>
      <c r="G1066" s="35"/>
      <c r="H1066" s="35">
        <f>H1067</f>
        <v>300</v>
      </c>
      <c r="I1066" s="35">
        <f t="shared" si="493"/>
        <v>300</v>
      </c>
      <c r="J1066" s="35">
        <f t="shared" si="493"/>
        <v>300</v>
      </c>
      <c r="K1066" s="35">
        <f t="shared" si="493"/>
        <v>300</v>
      </c>
      <c r="L1066" s="35">
        <f t="shared" si="491"/>
        <v>100</v>
      </c>
      <c r="M1066" s="35">
        <f t="shared" si="492"/>
        <v>100</v>
      </c>
    </row>
    <row r="1067" spans="1:13">
      <c r="A1067" s="59" t="s">
        <v>271</v>
      </c>
      <c r="B1067" s="28" t="s">
        <v>385</v>
      </c>
      <c r="C1067" s="28" t="s">
        <v>110</v>
      </c>
      <c r="D1067" s="28" t="s">
        <v>130</v>
      </c>
      <c r="E1067" s="29" t="s">
        <v>614</v>
      </c>
      <c r="F1067" s="28" t="s">
        <v>272</v>
      </c>
      <c r="G1067" s="35"/>
      <c r="H1067" s="35">
        <v>300</v>
      </c>
      <c r="I1067" s="35">
        <v>300</v>
      </c>
      <c r="J1067" s="35">
        <v>300</v>
      </c>
      <c r="K1067" s="35">
        <v>300</v>
      </c>
      <c r="L1067" s="35">
        <f t="shared" si="491"/>
        <v>100</v>
      </c>
      <c r="M1067" s="35">
        <f t="shared" si="492"/>
        <v>100</v>
      </c>
    </row>
    <row r="1068" spans="1:13">
      <c r="A1068" s="59" t="s">
        <v>422</v>
      </c>
      <c r="B1068" s="28" t="s">
        <v>385</v>
      </c>
      <c r="C1068" s="28" t="s">
        <v>110</v>
      </c>
      <c r="D1068" s="28" t="s">
        <v>46</v>
      </c>
      <c r="E1068" s="58" t="s">
        <v>0</v>
      </c>
      <c r="F1068" s="58" t="s">
        <v>0</v>
      </c>
      <c r="G1068" s="35">
        <f>G1069+G1167+G1173+G1186+G1191</f>
        <v>695709.2</v>
      </c>
      <c r="H1068" s="35">
        <f>H1069+H1167+H1173+H1186+H1191+H1195</f>
        <v>736709.14673000004</v>
      </c>
      <c r="I1068" s="35">
        <f>I1069+I1167+I1173+I1186+I1191+I1195</f>
        <v>536022.47438000015</v>
      </c>
      <c r="J1068" s="35">
        <f>J1069+J1167+J1173+J1186+J1191+J1195</f>
        <v>536022.47438000015</v>
      </c>
      <c r="K1068" s="35">
        <f>K1069+K1167+K1173+K1186+K1191+K1195</f>
        <v>522950.91405000002</v>
      </c>
      <c r="L1068" s="35">
        <f t="shared" si="491"/>
        <v>70.984718510853341</v>
      </c>
      <c r="M1068" s="35">
        <f t="shared" si="492"/>
        <v>97.561378308788349</v>
      </c>
    </row>
    <row r="1069" spans="1:13" ht="38.25">
      <c r="A1069" s="59" t="s">
        <v>112</v>
      </c>
      <c r="B1069" s="28" t="s">
        <v>385</v>
      </c>
      <c r="C1069" s="28" t="s">
        <v>110</v>
      </c>
      <c r="D1069" s="28" t="s">
        <v>46</v>
      </c>
      <c r="E1069" s="28" t="s">
        <v>113</v>
      </c>
      <c r="F1069" s="58" t="s">
        <v>0</v>
      </c>
      <c r="G1069" s="35">
        <f>G1070+G1088+G1123+G1131+G1161</f>
        <v>689494.2</v>
      </c>
      <c r="H1069" s="35">
        <f>H1070+H1088+H1123+H1131+H1161+H1096</f>
        <v>726934.58672999998</v>
      </c>
      <c r="I1069" s="35">
        <f t="shared" ref="I1069:K1069" si="494">I1070+I1088+I1123+I1131+I1161</f>
        <v>528946.40138000005</v>
      </c>
      <c r="J1069" s="35">
        <f t="shared" si="494"/>
        <v>528946.40138000005</v>
      </c>
      <c r="K1069" s="35">
        <f t="shared" si="494"/>
        <v>516320.12105000002</v>
      </c>
      <c r="L1069" s="35">
        <f t="shared" si="491"/>
        <v>71.027040187011082</v>
      </c>
      <c r="M1069" s="35">
        <f t="shared" si="492"/>
        <v>97.612937663048925</v>
      </c>
    </row>
    <row r="1070" spans="1:13" ht="25.5">
      <c r="A1070" s="59" t="s">
        <v>395</v>
      </c>
      <c r="B1070" s="28" t="s">
        <v>385</v>
      </c>
      <c r="C1070" s="28" t="s">
        <v>110</v>
      </c>
      <c r="D1070" s="28" t="s">
        <v>46</v>
      </c>
      <c r="E1070" s="28" t="s">
        <v>396</v>
      </c>
      <c r="F1070" s="58" t="s">
        <v>0</v>
      </c>
      <c r="G1070" s="35">
        <f>G1074+G1078+G1081+G1071+G1085</f>
        <v>127841.20000000001</v>
      </c>
      <c r="H1070" s="35">
        <f t="shared" ref="H1070:K1070" si="495">H1074+H1078+H1081+H1071+H1085</f>
        <v>128141.162</v>
      </c>
      <c r="I1070" s="35">
        <f t="shared" si="495"/>
        <v>106533.3</v>
      </c>
      <c r="J1070" s="35">
        <f t="shared" si="495"/>
        <v>106533.3</v>
      </c>
      <c r="K1070" s="35">
        <f t="shared" si="495"/>
        <v>96598.3</v>
      </c>
      <c r="L1070" s="35">
        <f t="shared" si="491"/>
        <v>75.384285964255582</v>
      </c>
      <c r="M1070" s="35">
        <f t="shared" si="492"/>
        <v>90.674277432502322</v>
      </c>
    </row>
    <row r="1071" spans="1:13" ht="38.25">
      <c r="A1071" s="76" t="s">
        <v>1144</v>
      </c>
      <c r="B1071" s="28" t="s">
        <v>385</v>
      </c>
      <c r="C1071" s="28" t="s">
        <v>110</v>
      </c>
      <c r="D1071" s="28" t="s">
        <v>46</v>
      </c>
      <c r="E1071" s="77" t="s">
        <v>1143</v>
      </c>
      <c r="F1071" s="58"/>
      <c r="G1071" s="35">
        <f>G1072</f>
        <v>9935</v>
      </c>
      <c r="H1071" s="35">
        <f t="shared" ref="H1071:K1072" si="496">H1072</f>
        <v>9935</v>
      </c>
      <c r="I1071" s="35">
        <f t="shared" si="496"/>
        <v>9935</v>
      </c>
      <c r="J1071" s="35">
        <f t="shared" si="496"/>
        <v>9935</v>
      </c>
      <c r="K1071" s="35">
        <f t="shared" si="496"/>
        <v>0</v>
      </c>
      <c r="L1071" s="35">
        <f t="shared" si="491"/>
        <v>0</v>
      </c>
      <c r="M1071" s="35">
        <f t="shared" si="492"/>
        <v>0</v>
      </c>
    </row>
    <row r="1072" spans="1:13" ht="25.5">
      <c r="A1072" s="59" t="s">
        <v>80</v>
      </c>
      <c r="B1072" s="28" t="s">
        <v>385</v>
      </c>
      <c r="C1072" s="28" t="s">
        <v>110</v>
      </c>
      <c r="D1072" s="28" t="s">
        <v>46</v>
      </c>
      <c r="E1072" s="77" t="s">
        <v>1143</v>
      </c>
      <c r="F1072" s="28">
        <v>600</v>
      </c>
      <c r="G1072" s="35">
        <f>G1073</f>
        <v>9935</v>
      </c>
      <c r="H1072" s="35">
        <f t="shared" si="496"/>
        <v>9935</v>
      </c>
      <c r="I1072" s="35">
        <f t="shared" si="496"/>
        <v>9935</v>
      </c>
      <c r="J1072" s="35">
        <f t="shared" si="496"/>
        <v>9935</v>
      </c>
      <c r="K1072" s="35">
        <f t="shared" si="496"/>
        <v>0</v>
      </c>
      <c r="L1072" s="35">
        <f t="shared" si="491"/>
        <v>0</v>
      </c>
      <c r="M1072" s="35">
        <f t="shared" si="492"/>
        <v>0</v>
      </c>
    </row>
    <row r="1073" spans="1:13">
      <c r="A1073" s="59" t="s">
        <v>82</v>
      </c>
      <c r="B1073" s="28" t="s">
        <v>385</v>
      </c>
      <c r="C1073" s="28" t="s">
        <v>110</v>
      </c>
      <c r="D1073" s="28" t="s">
        <v>46</v>
      </c>
      <c r="E1073" s="77" t="s">
        <v>1143</v>
      </c>
      <c r="F1073" s="58">
        <v>620</v>
      </c>
      <c r="G1073" s="35">
        <v>9935</v>
      </c>
      <c r="H1073" s="35">
        <v>9935</v>
      </c>
      <c r="I1073" s="35">
        <v>9935</v>
      </c>
      <c r="J1073" s="35">
        <v>9935</v>
      </c>
      <c r="K1073" s="35">
        <v>0</v>
      </c>
      <c r="L1073" s="35">
        <f t="shared" si="491"/>
        <v>0</v>
      </c>
      <c r="M1073" s="35">
        <f t="shared" si="492"/>
        <v>0</v>
      </c>
    </row>
    <row r="1074" spans="1:13" ht="25.5">
      <c r="A1074" s="59" t="s">
        <v>76</v>
      </c>
      <c r="B1074" s="28" t="s">
        <v>385</v>
      </c>
      <c r="C1074" s="28" t="s">
        <v>110</v>
      </c>
      <c r="D1074" s="28" t="s">
        <v>46</v>
      </c>
      <c r="E1074" s="28" t="s">
        <v>397</v>
      </c>
      <c r="F1074" s="58" t="s">
        <v>0</v>
      </c>
      <c r="G1074" s="35">
        <f>G1075</f>
        <v>65224.9</v>
      </c>
      <c r="H1074" s="35">
        <f t="shared" ref="H1074:K1074" si="497">H1075</f>
        <v>65524.86436</v>
      </c>
      <c r="I1074" s="35">
        <f t="shared" si="497"/>
        <v>49836.105360000001</v>
      </c>
      <c r="J1074" s="35">
        <f t="shared" si="497"/>
        <v>49836.105360000001</v>
      </c>
      <c r="K1074" s="35">
        <f t="shared" si="497"/>
        <v>49836.105360000001</v>
      </c>
      <c r="L1074" s="35">
        <f t="shared" si="491"/>
        <v>76.056785232237303</v>
      </c>
      <c r="M1074" s="35">
        <f t="shared" si="492"/>
        <v>100</v>
      </c>
    </row>
    <row r="1075" spans="1:13" ht="25.5">
      <c r="A1075" s="59" t="s">
        <v>80</v>
      </c>
      <c r="B1075" s="28" t="s">
        <v>385</v>
      </c>
      <c r="C1075" s="28" t="s">
        <v>110</v>
      </c>
      <c r="D1075" s="28" t="s">
        <v>46</v>
      </c>
      <c r="E1075" s="28" t="s">
        <v>397</v>
      </c>
      <c r="F1075" s="28" t="s">
        <v>81</v>
      </c>
      <c r="G1075" s="35">
        <f>G1076+G1077</f>
        <v>65224.9</v>
      </c>
      <c r="H1075" s="35">
        <f t="shared" ref="H1075:K1075" si="498">H1076+H1077</f>
        <v>65524.86436</v>
      </c>
      <c r="I1075" s="35">
        <f t="shared" si="498"/>
        <v>49836.105360000001</v>
      </c>
      <c r="J1075" s="35">
        <f t="shared" si="498"/>
        <v>49836.105360000001</v>
      </c>
      <c r="K1075" s="35">
        <f t="shared" si="498"/>
        <v>49836.105360000001</v>
      </c>
      <c r="L1075" s="35">
        <f t="shared" si="491"/>
        <v>76.056785232237303</v>
      </c>
      <c r="M1075" s="35">
        <f t="shared" si="492"/>
        <v>100</v>
      </c>
    </row>
    <row r="1076" spans="1:13">
      <c r="A1076" s="59" t="s">
        <v>271</v>
      </c>
      <c r="B1076" s="28" t="s">
        <v>385</v>
      </c>
      <c r="C1076" s="28" t="s">
        <v>110</v>
      </c>
      <c r="D1076" s="28" t="s">
        <v>46</v>
      </c>
      <c r="E1076" s="28" t="s">
        <v>397</v>
      </c>
      <c r="F1076" s="28" t="s">
        <v>272</v>
      </c>
      <c r="G1076" s="35">
        <v>39080.5</v>
      </c>
      <c r="H1076" s="35">
        <f>33099.5+5981</f>
        <v>39080.5</v>
      </c>
      <c r="I1076" s="35">
        <f>24214.696+5781</f>
        <v>29995.696</v>
      </c>
      <c r="J1076" s="35">
        <f>24214.696+5781</f>
        <v>29995.696</v>
      </c>
      <c r="K1076" s="35">
        <f>24214.696+5781</f>
        <v>29995.696</v>
      </c>
      <c r="L1076" s="35">
        <f t="shared" si="491"/>
        <v>76.753613694809431</v>
      </c>
      <c r="M1076" s="35">
        <f t="shared" si="492"/>
        <v>100</v>
      </c>
    </row>
    <row r="1077" spans="1:13">
      <c r="A1077" s="59" t="s">
        <v>82</v>
      </c>
      <c r="B1077" s="28" t="s">
        <v>385</v>
      </c>
      <c r="C1077" s="28" t="s">
        <v>110</v>
      </c>
      <c r="D1077" s="28" t="s">
        <v>46</v>
      </c>
      <c r="E1077" s="28" t="s">
        <v>397</v>
      </c>
      <c r="F1077" s="28" t="s">
        <v>83</v>
      </c>
      <c r="G1077" s="35">
        <v>26144.400000000001</v>
      </c>
      <c r="H1077" s="35">
        <f>25574.36436+870</f>
        <v>26444.36436</v>
      </c>
      <c r="I1077" s="35">
        <f>18970.40936+870</f>
        <v>19840.409360000001</v>
      </c>
      <c r="J1077" s="35">
        <f>18970.40936+870</f>
        <v>19840.409360000001</v>
      </c>
      <c r="K1077" s="35">
        <f>18970.40936+870</f>
        <v>19840.409360000001</v>
      </c>
      <c r="L1077" s="35">
        <f t="shared" si="491"/>
        <v>75.026985296008093</v>
      </c>
      <c r="M1077" s="35">
        <f t="shared" si="492"/>
        <v>100</v>
      </c>
    </row>
    <row r="1078" spans="1:13" ht="76.5">
      <c r="A1078" s="59" t="s">
        <v>367</v>
      </c>
      <c r="B1078" s="28" t="s">
        <v>385</v>
      </c>
      <c r="C1078" s="28" t="s">
        <v>110</v>
      </c>
      <c r="D1078" s="28" t="s">
        <v>46</v>
      </c>
      <c r="E1078" s="28" t="s">
        <v>423</v>
      </c>
      <c r="F1078" s="58" t="s">
        <v>0</v>
      </c>
      <c r="G1078" s="35">
        <f>G1079</f>
        <v>3910.4</v>
      </c>
      <c r="H1078" s="35">
        <f t="shared" ref="H1078:K1079" si="499">H1079</f>
        <v>3910.4</v>
      </c>
      <c r="I1078" s="35">
        <f t="shared" si="499"/>
        <v>0</v>
      </c>
      <c r="J1078" s="35">
        <f t="shared" si="499"/>
        <v>0</v>
      </c>
      <c r="K1078" s="35">
        <f t="shared" si="499"/>
        <v>0</v>
      </c>
      <c r="L1078" s="35">
        <f t="shared" si="491"/>
        <v>0</v>
      </c>
      <c r="M1078" s="35">
        <v>0</v>
      </c>
    </row>
    <row r="1079" spans="1:13">
      <c r="A1079" s="59" t="s">
        <v>72</v>
      </c>
      <c r="B1079" s="28" t="s">
        <v>385</v>
      </c>
      <c r="C1079" s="28" t="s">
        <v>110</v>
      </c>
      <c r="D1079" s="28" t="s">
        <v>46</v>
      </c>
      <c r="E1079" s="28" t="s">
        <v>423</v>
      </c>
      <c r="F1079" s="28" t="s">
        <v>73</v>
      </c>
      <c r="G1079" s="35">
        <f>G1080</f>
        <v>3910.4</v>
      </c>
      <c r="H1079" s="35">
        <f t="shared" si="499"/>
        <v>3910.4</v>
      </c>
      <c r="I1079" s="35">
        <f t="shared" si="499"/>
        <v>0</v>
      </c>
      <c r="J1079" s="35">
        <f t="shared" si="499"/>
        <v>0</v>
      </c>
      <c r="K1079" s="35">
        <f t="shared" si="499"/>
        <v>0</v>
      </c>
      <c r="L1079" s="35">
        <f t="shared" si="491"/>
        <v>0</v>
      </c>
      <c r="M1079" s="35">
        <v>0</v>
      </c>
    </row>
    <row r="1080" spans="1:13">
      <c r="A1080" s="59" t="s">
        <v>369</v>
      </c>
      <c r="B1080" s="28" t="s">
        <v>385</v>
      </c>
      <c r="C1080" s="28" t="s">
        <v>110</v>
      </c>
      <c r="D1080" s="28" t="s">
        <v>46</v>
      </c>
      <c r="E1080" s="28" t="s">
        <v>423</v>
      </c>
      <c r="F1080" s="28" t="s">
        <v>370</v>
      </c>
      <c r="G1080" s="35">
        <v>3910.4</v>
      </c>
      <c r="H1080" s="35">
        <v>3910.4</v>
      </c>
      <c r="I1080" s="35">
        <v>0</v>
      </c>
      <c r="J1080" s="35">
        <v>0</v>
      </c>
      <c r="K1080" s="35">
        <v>0</v>
      </c>
      <c r="L1080" s="35">
        <f t="shared" si="491"/>
        <v>0</v>
      </c>
      <c r="M1080" s="35">
        <v>0</v>
      </c>
    </row>
    <row r="1081" spans="1:13">
      <c r="A1081" s="59" t="s">
        <v>424</v>
      </c>
      <c r="B1081" s="28" t="s">
        <v>385</v>
      </c>
      <c r="C1081" s="28" t="s">
        <v>110</v>
      </c>
      <c r="D1081" s="28" t="s">
        <v>46</v>
      </c>
      <c r="E1081" s="28" t="s">
        <v>425</v>
      </c>
      <c r="F1081" s="58" t="s">
        <v>0</v>
      </c>
      <c r="G1081" s="35">
        <f>G1082</f>
        <v>46335.9</v>
      </c>
      <c r="H1081" s="35">
        <f t="shared" ref="H1081:K1081" si="500">H1082</f>
        <v>46335.881000000001</v>
      </c>
      <c r="I1081" s="35">
        <f t="shared" si="500"/>
        <v>44668.222999999998</v>
      </c>
      <c r="J1081" s="35">
        <f t="shared" si="500"/>
        <v>44668.222999999998</v>
      </c>
      <c r="K1081" s="35">
        <f t="shared" si="500"/>
        <v>44668.222999999998</v>
      </c>
      <c r="L1081" s="35">
        <f t="shared" si="491"/>
        <v>96.400936026229857</v>
      </c>
      <c r="M1081" s="35">
        <f t="shared" si="492"/>
        <v>100</v>
      </c>
    </row>
    <row r="1082" spans="1:13" ht="25.5">
      <c r="A1082" s="59" t="s">
        <v>80</v>
      </c>
      <c r="B1082" s="28" t="s">
        <v>385</v>
      </c>
      <c r="C1082" s="28" t="s">
        <v>110</v>
      </c>
      <c r="D1082" s="28" t="s">
        <v>46</v>
      </c>
      <c r="E1082" s="28" t="s">
        <v>425</v>
      </c>
      <c r="F1082" s="28" t="s">
        <v>81</v>
      </c>
      <c r="G1082" s="35">
        <f>G1083+G1084</f>
        <v>46335.9</v>
      </c>
      <c r="H1082" s="35">
        <f t="shared" ref="H1082:K1082" si="501">H1083+H1084</f>
        <v>46335.881000000001</v>
      </c>
      <c r="I1082" s="35">
        <f t="shared" si="501"/>
        <v>44668.222999999998</v>
      </c>
      <c r="J1082" s="35">
        <f t="shared" si="501"/>
        <v>44668.222999999998</v>
      </c>
      <c r="K1082" s="35">
        <f t="shared" si="501"/>
        <v>44668.222999999998</v>
      </c>
      <c r="L1082" s="35">
        <f t="shared" si="491"/>
        <v>96.400936026229857</v>
      </c>
      <c r="M1082" s="35">
        <f t="shared" si="492"/>
        <v>100</v>
      </c>
    </row>
    <row r="1083" spans="1:13">
      <c r="A1083" s="59" t="s">
        <v>271</v>
      </c>
      <c r="B1083" s="28" t="s">
        <v>385</v>
      </c>
      <c r="C1083" s="28" t="s">
        <v>110</v>
      </c>
      <c r="D1083" s="28" t="s">
        <v>46</v>
      </c>
      <c r="E1083" s="28" t="s">
        <v>425</v>
      </c>
      <c r="F1083" s="28" t="s">
        <v>272</v>
      </c>
      <c r="G1083" s="35">
        <v>7589.8</v>
      </c>
      <c r="H1083" s="35">
        <v>7589.7619999999997</v>
      </c>
      <c r="I1083" s="35">
        <v>6329.826</v>
      </c>
      <c r="J1083" s="35">
        <v>6329.826</v>
      </c>
      <c r="K1083" s="35">
        <v>6329.826</v>
      </c>
      <c r="L1083" s="35">
        <f t="shared" si="491"/>
        <v>83.399532159242938</v>
      </c>
      <c r="M1083" s="35">
        <f t="shared" si="492"/>
        <v>100</v>
      </c>
    </row>
    <row r="1084" spans="1:13">
      <c r="A1084" s="59" t="s">
        <v>82</v>
      </c>
      <c r="B1084" s="28" t="s">
        <v>385</v>
      </c>
      <c r="C1084" s="28" t="s">
        <v>110</v>
      </c>
      <c r="D1084" s="28" t="s">
        <v>46</v>
      </c>
      <c r="E1084" s="28" t="s">
        <v>425</v>
      </c>
      <c r="F1084" s="28" t="s">
        <v>83</v>
      </c>
      <c r="G1084" s="35">
        <v>38746.1</v>
      </c>
      <c r="H1084" s="35">
        <v>38746.118999999999</v>
      </c>
      <c r="I1084" s="35">
        <v>38338.396999999997</v>
      </c>
      <c r="J1084" s="35">
        <v>38338.396999999997</v>
      </c>
      <c r="K1084" s="35">
        <v>38338.396999999997</v>
      </c>
      <c r="L1084" s="35">
        <f t="shared" si="491"/>
        <v>98.947708801493121</v>
      </c>
      <c r="M1084" s="35">
        <f t="shared" si="492"/>
        <v>100</v>
      </c>
    </row>
    <row r="1085" spans="1:13" s="88" customFormat="1" ht="48" customHeight="1">
      <c r="A1085" s="62" t="s">
        <v>1240</v>
      </c>
      <c r="B1085" s="28" t="s">
        <v>385</v>
      </c>
      <c r="C1085" s="28" t="s">
        <v>110</v>
      </c>
      <c r="D1085" s="28" t="s">
        <v>46</v>
      </c>
      <c r="E1085" s="29" t="s">
        <v>1241</v>
      </c>
      <c r="F1085" s="28"/>
      <c r="G1085" s="35">
        <f>G1086</f>
        <v>2435</v>
      </c>
      <c r="H1085" s="35">
        <f t="shared" ref="H1085:K1086" si="502">H1086</f>
        <v>2435.0166399999998</v>
      </c>
      <c r="I1085" s="35">
        <f t="shared" si="502"/>
        <v>2093.9716400000002</v>
      </c>
      <c r="J1085" s="35">
        <f t="shared" si="502"/>
        <v>2093.9716400000002</v>
      </c>
      <c r="K1085" s="35">
        <f t="shared" si="502"/>
        <v>2093.9716400000002</v>
      </c>
      <c r="L1085" s="35">
        <f t="shared" si="491"/>
        <v>85.994140886035183</v>
      </c>
      <c r="M1085" s="35">
        <f t="shared" si="492"/>
        <v>100</v>
      </c>
    </row>
    <row r="1086" spans="1:13" s="88" customFormat="1" ht="25.5">
      <c r="A1086" s="59" t="s">
        <v>80</v>
      </c>
      <c r="B1086" s="28" t="s">
        <v>385</v>
      </c>
      <c r="C1086" s="28" t="s">
        <v>110</v>
      </c>
      <c r="D1086" s="28" t="s">
        <v>46</v>
      </c>
      <c r="E1086" s="29" t="s">
        <v>1241</v>
      </c>
      <c r="F1086" s="28">
        <v>600</v>
      </c>
      <c r="G1086" s="35">
        <f>G1087</f>
        <v>2435</v>
      </c>
      <c r="H1086" s="35">
        <f t="shared" si="502"/>
        <v>2435.0166399999998</v>
      </c>
      <c r="I1086" s="35">
        <f t="shared" si="502"/>
        <v>2093.9716400000002</v>
      </c>
      <c r="J1086" s="35">
        <f t="shared" si="502"/>
        <v>2093.9716400000002</v>
      </c>
      <c r="K1086" s="35">
        <f t="shared" si="502"/>
        <v>2093.9716400000002</v>
      </c>
      <c r="L1086" s="35">
        <f t="shared" si="491"/>
        <v>85.994140886035183</v>
      </c>
      <c r="M1086" s="35">
        <f t="shared" si="492"/>
        <v>100</v>
      </c>
    </row>
    <row r="1087" spans="1:13" s="88" customFormat="1">
      <c r="A1087" s="59" t="s">
        <v>82</v>
      </c>
      <c r="B1087" s="28" t="s">
        <v>385</v>
      </c>
      <c r="C1087" s="28" t="s">
        <v>110</v>
      </c>
      <c r="D1087" s="28" t="s">
        <v>46</v>
      </c>
      <c r="E1087" s="29" t="s">
        <v>1241</v>
      </c>
      <c r="F1087" s="28">
        <v>620</v>
      </c>
      <c r="G1087" s="35">
        <v>2435</v>
      </c>
      <c r="H1087" s="35">
        <v>2435.0166399999998</v>
      </c>
      <c r="I1087" s="35">
        <v>2093.9716400000002</v>
      </c>
      <c r="J1087" s="35">
        <v>2093.9716400000002</v>
      </c>
      <c r="K1087" s="35">
        <v>2093.9716400000002</v>
      </c>
      <c r="L1087" s="35">
        <f t="shared" si="491"/>
        <v>85.994140886035183</v>
      </c>
      <c r="M1087" s="35">
        <f t="shared" si="492"/>
        <v>100</v>
      </c>
    </row>
    <row r="1088" spans="1:13" ht="76.5">
      <c r="A1088" s="59" t="s">
        <v>400</v>
      </c>
      <c r="B1088" s="28" t="s">
        <v>385</v>
      </c>
      <c r="C1088" s="28" t="s">
        <v>110</v>
      </c>
      <c r="D1088" s="28" t="s">
        <v>46</v>
      </c>
      <c r="E1088" s="28" t="s">
        <v>401</v>
      </c>
      <c r="F1088" s="58" t="s">
        <v>0</v>
      </c>
      <c r="G1088" s="35">
        <f>G1099+G1102+G1108+G1113+G1116</f>
        <v>46261.1</v>
      </c>
      <c r="H1088" s="35">
        <f>H1099+H1102+H1108+H1113+H1116+H1089</f>
        <v>56060.570369999994</v>
      </c>
      <c r="I1088" s="35">
        <f>I1099+I1102+I1108+I1113+I1116+I1089+I1096</f>
        <v>42025.101869999999</v>
      </c>
      <c r="J1088" s="35">
        <f t="shared" ref="J1088:K1088" si="503">J1099+J1102+J1108+J1113+J1116+J1089+J1096</f>
        <v>42025.101869999999</v>
      </c>
      <c r="K1088" s="35">
        <f t="shared" si="503"/>
        <v>39975.630279999998</v>
      </c>
      <c r="L1088" s="35">
        <f t="shared" si="491"/>
        <v>71.307926437709554</v>
      </c>
      <c r="M1088" s="35">
        <f t="shared" si="492"/>
        <v>95.12322041160111</v>
      </c>
    </row>
    <row r="1089" spans="1:13" s="91" customFormat="1" ht="43.5" customHeight="1">
      <c r="A1089" s="62" t="s">
        <v>1257</v>
      </c>
      <c r="B1089" s="28" t="s">
        <v>385</v>
      </c>
      <c r="C1089" s="28" t="s">
        <v>110</v>
      </c>
      <c r="D1089" s="28" t="s">
        <v>46</v>
      </c>
      <c r="E1089" s="29" t="s">
        <v>1265</v>
      </c>
      <c r="F1089" s="58"/>
      <c r="G1089" s="35"/>
      <c r="H1089" s="35">
        <f>H1090+H1092+H1094</f>
        <v>14899.5</v>
      </c>
      <c r="I1089" s="35">
        <f t="shared" ref="I1089:K1089" si="504">I1090+I1092+I1094</f>
        <v>1603.5</v>
      </c>
      <c r="J1089" s="35">
        <f t="shared" si="504"/>
        <v>1603.5</v>
      </c>
      <c r="K1089" s="35">
        <f t="shared" si="504"/>
        <v>1603.5</v>
      </c>
      <c r="L1089" s="35">
        <f t="shared" si="491"/>
        <v>10.76210611094332</v>
      </c>
      <c r="M1089" s="35">
        <f t="shared" si="492"/>
        <v>100</v>
      </c>
    </row>
    <row r="1090" spans="1:13" s="91" customFormat="1" ht="25.5">
      <c r="A1090" s="59" t="s">
        <v>64</v>
      </c>
      <c r="B1090" s="28" t="s">
        <v>385</v>
      </c>
      <c r="C1090" s="28" t="s">
        <v>110</v>
      </c>
      <c r="D1090" s="28" t="s">
        <v>46</v>
      </c>
      <c r="E1090" s="29" t="s">
        <v>1265</v>
      </c>
      <c r="F1090" s="28">
        <v>200</v>
      </c>
      <c r="G1090" s="35"/>
      <c r="H1090" s="35">
        <f>H1091</f>
        <v>3270.2972300000001</v>
      </c>
      <c r="I1090" s="35">
        <f t="shared" ref="I1090:K1090" si="505">I1091</f>
        <v>0</v>
      </c>
      <c r="J1090" s="35">
        <f t="shared" si="505"/>
        <v>0</v>
      </c>
      <c r="K1090" s="35">
        <f t="shared" si="505"/>
        <v>0</v>
      </c>
      <c r="L1090" s="35">
        <f t="shared" si="491"/>
        <v>0</v>
      </c>
      <c r="M1090" s="35">
        <v>0</v>
      </c>
    </row>
    <row r="1091" spans="1:13" s="91" customFormat="1" ht="25.5">
      <c r="A1091" s="59" t="s">
        <v>66</v>
      </c>
      <c r="B1091" s="28" t="s">
        <v>385</v>
      </c>
      <c r="C1091" s="28" t="s">
        <v>110</v>
      </c>
      <c r="D1091" s="28" t="s">
        <v>46</v>
      </c>
      <c r="E1091" s="29" t="s">
        <v>1265</v>
      </c>
      <c r="F1091" s="28">
        <v>240</v>
      </c>
      <c r="G1091" s="35"/>
      <c r="H1091" s="35">
        <v>3270.2972300000001</v>
      </c>
      <c r="I1091" s="35">
        <v>0</v>
      </c>
      <c r="J1091" s="35">
        <v>0</v>
      </c>
      <c r="K1091" s="35">
        <v>0</v>
      </c>
      <c r="L1091" s="35">
        <f t="shared" si="491"/>
        <v>0</v>
      </c>
      <c r="M1091" s="35">
        <v>0</v>
      </c>
    </row>
    <row r="1092" spans="1:13" s="91" customFormat="1">
      <c r="A1092" s="59" t="s">
        <v>26</v>
      </c>
      <c r="B1092" s="28" t="s">
        <v>385</v>
      </c>
      <c r="C1092" s="28" t="s">
        <v>110</v>
      </c>
      <c r="D1092" s="28" t="s">
        <v>46</v>
      </c>
      <c r="E1092" s="29" t="s">
        <v>1265</v>
      </c>
      <c r="F1092" s="28">
        <v>500</v>
      </c>
      <c r="G1092" s="35"/>
      <c r="H1092" s="35">
        <f>H1093</f>
        <v>6702.6402699999999</v>
      </c>
      <c r="I1092" s="35">
        <f t="shared" ref="I1092:K1092" si="506">I1093</f>
        <v>0</v>
      </c>
      <c r="J1092" s="35">
        <f t="shared" si="506"/>
        <v>0</v>
      </c>
      <c r="K1092" s="35">
        <f t="shared" si="506"/>
        <v>0</v>
      </c>
      <c r="L1092" s="35">
        <f t="shared" si="491"/>
        <v>0</v>
      </c>
      <c r="M1092" s="35">
        <v>0</v>
      </c>
    </row>
    <row r="1093" spans="1:13" s="91" customFormat="1">
      <c r="A1093" s="59" t="s">
        <v>56</v>
      </c>
      <c r="B1093" s="28" t="s">
        <v>385</v>
      </c>
      <c r="C1093" s="28" t="s">
        <v>110</v>
      </c>
      <c r="D1093" s="28" t="s">
        <v>46</v>
      </c>
      <c r="E1093" s="29" t="s">
        <v>1265</v>
      </c>
      <c r="F1093" s="28">
        <v>520</v>
      </c>
      <c r="G1093" s="35"/>
      <c r="H1093" s="35">
        <v>6702.6402699999999</v>
      </c>
      <c r="I1093" s="35">
        <v>0</v>
      </c>
      <c r="J1093" s="35">
        <v>0</v>
      </c>
      <c r="K1093" s="35">
        <v>0</v>
      </c>
      <c r="L1093" s="35">
        <f t="shared" si="491"/>
        <v>0</v>
      </c>
      <c r="M1093" s="35">
        <v>0</v>
      </c>
    </row>
    <row r="1094" spans="1:13" s="91" customFormat="1" ht="25.5">
      <c r="A1094" s="59" t="s">
        <v>80</v>
      </c>
      <c r="B1094" s="28" t="s">
        <v>385</v>
      </c>
      <c r="C1094" s="28" t="s">
        <v>110</v>
      </c>
      <c r="D1094" s="28" t="s">
        <v>46</v>
      </c>
      <c r="E1094" s="29" t="s">
        <v>1265</v>
      </c>
      <c r="F1094" s="28">
        <v>600</v>
      </c>
      <c r="G1094" s="35"/>
      <c r="H1094" s="35">
        <f>H1095</f>
        <v>4926.5625</v>
      </c>
      <c r="I1094" s="35">
        <f t="shared" ref="I1094:K1094" si="507">I1095</f>
        <v>1603.5</v>
      </c>
      <c r="J1094" s="35">
        <f t="shared" si="507"/>
        <v>1603.5</v>
      </c>
      <c r="K1094" s="35">
        <f t="shared" si="507"/>
        <v>1603.5</v>
      </c>
      <c r="L1094" s="35">
        <f t="shared" si="491"/>
        <v>32.548049476688867</v>
      </c>
      <c r="M1094" s="35">
        <f t="shared" si="492"/>
        <v>100</v>
      </c>
    </row>
    <row r="1095" spans="1:13" s="91" customFormat="1">
      <c r="A1095" s="59" t="s">
        <v>271</v>
      </c>
      <c r="B1095" s="28" t="s">
        <v>385</v>
      </c>
      <c r="C1095" s="28" t="s">
        <v>110</v>
      </c>
      <c r="D1095" s="28" t="s">
        <v>46</v>
      </c>
      <c r="E1095" s="29" t="s">
        <v>1265</v>
      </c>
      <c r="F1095" s="28">
        <v>610</v>
      </c>
      <c r="G1095" s="35"/>
      <c r="H1095" s="35">
        <v>4926.5625</v>
      </c>
      <c r="I1095" s="35">
        <v>1603.5</v>
      </c>
      <c r="J1095" s="35">
        <v>1603.5</v>
      </c>
      <c r="K1095" s="35">
        <v>1603.5</v>
      </c>
      <c r="L1095" s="35">
        <f t="shared" si="491"/>
        <v>32.548049476688867</v>
      </c>
      <c r="M1095" s="35">
        <f t="shared" si="492"/>
        <v>100</v>
      </c>
    </row>
    <row r="1096" spans="1:13" ht="37.5" customHeight="1">
      <c r="A1096" s="59" t="s">
        <v>1147</v>
      </c>
      <c r="B1096" s="28" t="s">
        <v>385</v>
      </c>
      <c r="C1096" s="28" t="s">
        <v>110</v>
      </c>
      <c r="D1096" s="28" t="s">
        <v>46</v>
      </c>
      <c r="E1096" s="29" t="s">
        <v>1142</v>
      </c>
      <c r="F1096" s="58"/>
      <c r="G1096" s="35"/>
      <c r="H1096" s="35">
        <f>H1097</f>
        <v>27340.909</v>
      </c>
      <c r="I1096" s="35">
        <f t="shared" ref="I1096:K1097" si="508">I1097</f>
        <v>27340.909</v>
      </c>
      <c r="J1096" s="35">
        <f t="shared" si="508"/>
        <v>27340.909</v>
      </c>
      <c r="K1096" s="35">
        <f t="shared" si="508"/>
        <v>27229.93491</v>
      </c>
      <c r="L1096" s="35">
        <f t="shared" si="491"/>
        <v>99.59410972766122</v>
      </c>
      <c r="M1096" s="35">
        <f t="shared" si="492"/>
        <v>99.59410972766122</v>
      </c>
    </row>
    <row r="1097" spans="1:13" ht="25.5">
      <c r="A1097" s="59" t="s">
        <v>64</v>
      </c>
      <c r="B1097" s="28" t="s">
        <v>385</v>
      </c>
      <c r="C1097" s="28" t="s">
        <v>110</v>
      </c>
      <c r="D1097" s="28" t="s">
        <v>46</v>
      </c>
      <c r="E1097" s="29" t="s">
        <v>1142</v>
      </c>
      <c r="F1097" s="28">
        <v>200</v>
      </c>
      <c r="G1097" s="35"/>
      <c r="H1097" s="35">
        <f>H1098</f>
        <v>27340.909</v>
      </c>
      <c r="I1097" s="35">
        <f t="shared" si="508"/>
        <v>27340.909</v>
      </c>
      <c r="J1097" s="35">
        <f t="shared" si="508"/>
        <v>27340.909</v>
      </c>
      <c r="K1097" s="35">
        <f t="shared" si="508"/>
        <v>27229.93491</v>
      </c>
      <c r="L1097" s="35">
        <f t="shared" si="491"/>
        <v>99.59410972766122</v>
      </c>
      <c r="M1097" s="35">
        <f t="shared" si="492"/>
        <v>99.59410972766122</v>
      </c>
    </row>
    <row r="1098" spans="1:13" ht="25.5">
      <c r="A1098" s="59" t="s">
        <v>66</v>
      </c>
      <c r="B1098" s="28" t="s">
        <v>385</v>
      </c>
      <c r="C1098" s="28" t="s">
        <v>110</v>
      </c>
      <c r="D1098" s="28" t="s">
        <v>46</v>
      </c>
      <c r="E1098" s="29" t="s">
        <v>1142</v>
      </c>
      <c r="F1098" s="28">
        <v>240</v>
      </c>
      <c r="G1098" s="35"/>
      <c r="H1098" s="35">
        <v>27340.909</v>
      </c>
      <c r="I1098" s="35">
        <v>27340.909</v>
      </c>
      <c r="J1098" s="35">
        <v>27340.909</v>
      </c>
      <c r="K1098" s="35">
        <v>27229.93491</v>
      </c>
      <c r="L1098" s="35">
        <f t="shared" si="491"/>
        <v>99.59410972766122</v>
      </c>
      <c r="M1098" s="35">
        <f t="shared" si="492"/>
        <v>99.59410972766122</v>
      </c>
    </row>
    <row r="1099" spans="1:13" ht="76.5">
      <c r="A1099" s="59" t="s">
        <v>367</v>
      </c>
      <c r="B1099" s="28" t="s">
        <v>385</v>
      </c>
      <c r="C1099" s="28" t="s">
        <v>110</v>
      </c>
      <c r="D1099" s="28" t="s">
        <v>46</v>
      </c>
      <c r="E1099" s="28" t="s">
        <v>426</v>
      </c>
      <c r="F1099" s="58" t="s">
        <v>0</v>
      </c>
      <c r="G1099" s="35">
        <f>G1100</f>
        <v>20000</v>
      </c>
      <c r="H1099" s="35">
        <f t="shared" ref="H1099:K1100" si="509">H1100</f>
        <v>20000</v>
      </c>
      <c r="I1099" s="35">
        <f t="shared" si="509"/>
        <v>0</v>
      </c>
      <c r="J1099" s="35">
        <f t="shared" si="509"/>
        <v>0</v>
      </c>
      <c r="K1099" s="35">
        <f t="shared" si="509"/>
        <v>0</v>
      </c>
      <c r="L1099" s="35">
        <f t="shared" si="491"/>
        <v>0</v>
      </c>
      <c r="M1099" s="35">
        <v>0</v>
      </c>
    </row>
    <row r="1100" spans="1:13">
      <c r="A1100" s="59" t="s">
        <v>72</v>
      </c>
      <c r="B1100" s="28" t="s">
        <v>385</v>
      </c>
      <c r="C1100" s="28" t="s">
        <v>110</v>
      </c>
      <c r="D1100" s="28" t="s">
        <v>46</v>
      </c>
      <c r="E1100" s="28" t="s">
        <v>426</v>
      </c>
      <c r="F1100" s="28" t="s">
        <v>73</v>
      </c>
      <c r="G1100" s="35">
        <f>G1101</f>
        <v>20000</v>
      </c>
      <c r="H1100" s="35">
        <f t="shared" si="509"/>
        <v>20000</v>
      </c>
      <c r="I1100" s="35">
        <f t="shared" si="509"/>
        <v>0</v>
      </c>
      <c r="J1100" s="35">
        <f t="shared" si="509"/>
        <v>0</v>
      </c>
      <c r="K1100" s="35">
        <f t="shared" si="509"/>
        <v>0</v>
      </c>
      <c r="L1100" s="35">
        <f t="shared" si="491"/>
        <v>0</v>
      </c>
      <c r="M1100" s="35">
        <v>0</v>
      </c>
    </row>
    <row r="1101" spans="1:13">
      <c r="A1101" s="59" t="s">
        <v>369</v>
      </c>
      <c r="B1101" s="28" t="s">
        <v>385</v>
      </c>
      <c r="C1101" s="28" t="s">
        <v>110</v>
      </c>
      <c r="D1101" s="28" t="s">
        <v>46</v>
      </c>
      <c r="E1101" s="28" t="s">
        <v>426</v>
      </c>
      <c r="F1101" s="28" t="s">
        <v>370</v>
      </c>
      <c r="G1101" s="35">
        <v>20000</v>
      </c>
      <c r="H1101" s="35">
        <v>20000</v>
      </c>
      <c r="I1101" s="35">
        <v>0</v>
      </c>
      <c r="J1101" s="35">
        <v>0</v>
      </c>
      <c r="K1101" s="35">
        <v>0</v>
      </c>
      <c r="L1101" s="35">
        <f t="shared" si="491"/>
        <v>0</v>
      </c>
      <c r="M1101" s="35">
        <v>0</v>
      </c>
    </row>
    <row r="1102" spans="1:13">
      <c r="A1102" s="59" t="s">
        <v>424</v>
      </c>
      <c r="B1102" s="28" t="s">
        <v>385</v>
      </c>
      <c r="C1102" s="28" t="s">
        <v>110</v>
      </c>
      <c r="D1102" s="28" t="s">
        <v>46</v>
      </c>
      <c r="E1102" s="28" t="s">
        <v>427</v>
      </c>
      <c r="F1102" s="58" t="s">
        <v>0</v>
      </c>
      <c r="G1102" s="35">
        <f>G1103+G1105</f>
        <v>17592</v>
      </c>
      <c r="H1102" s="35">
        <f t="shared" ref="H1102:K1102" si="510">H1103+H1105</f>
        <v>12492</v>
      </c>
      <c r="I1102" s="35">
        <f t="shared" si="510"/>
        <v>7429</v>
      </c>
      <c r="J1102" s="35">
        <f t="shared" si="510"/>
        <v>7429</v>
      </c>
      <c r="K1102" s="35">
        <f t="shared" si="510"/>
        <v>6288.6900000000005</v>
      </c>
      <c r="L1102" s="35">
        <f t="shared" si="491"/>
        <v>50.341738712776184</v>
      </c>
      <c r="M1102" s="35">
        <f t="shared" si="492"/>
        <v>84.650558621617989</v>
      </c>
    </row>
    <row r="1103" spans="1:13" ht="25.5">
      <c r="A1103" s="59" t="s">
        <v>64</v>
      </c>
      <c r="B1103" s="28" t="s">
        <v>385</v>
      </c>
      <c r="C1103" s="28" t="s">
        <v>110</v>
      </c>
      <c r="D1103" s="28" t="s">
        <v>46</v>
      </c>
      <c r="E1103" s="28" t="s">
        <v>427</v>
      </c>
      <c r="F1103" s="28" t="s">
        <v>65</v>
      </c>
      <c r="G1103" s="35">
        <f>G1104</f>
        <v>6372</v>
      </c>
      <c r="H1103" s="35">
        <f t="shared" ref="H1103:K1103" si="511">H1104</f>
        <v>6372</v>
      </c>
      <c r="I1103" s="35">
        <f t="shared" si="511"/>
        <v>3051.5</v>
      </c>
      <c r="J1103" s="35">
        <f t="shared" si="511"/>
        <v>3051.5</v>
      </c>
      <c r="K1103" s="35">
        <f t="shared" si="511"/>
        <v>1911.19</v>
      </c>
      <c r="L1103" s="35">
        <f t="shared" si="491"/>
        <v>29.993565599497803</v>
      </c>
      <c r="M1103" s="35">
        <f t="shared" si="492"/>
        <v>62.631165000819266</v>
      </c>
    </row>
    <row r="1104" spans="1:13" ht="25.5">
      <c r="A1104" s="59" t="s">
        <v>66</v>
      </c>
      <c r="B1104" s="28" t="s">
        <v>385</v>
      </c>
      <c r="C1104" s="28" t="s">
        <v>110</v>
      </c>
      <c r="D1104" s="28" t="s">
        <v>46</v>
      </c>
      <c r="E1104" s="28" t="s">
        <v>427</v>
      </c>
      <c r="F1104" s="28" t="s">
        <v>67</v>
      </c>
      <c r="G1104" s="35">
        <v>6372</v>
      </c>
      <c r="H1104" s="35">
        <v>6372</v>
      </c>
      <c r="I1104" s="35">
        <v>3051.5</v>
      </c>
      <c r="J1104" s="35">
        <v>3051.5</v>
      </c>
      <c r="K1104" s="35">
        <v>1911.19</v>
      </c>
      <c r="L1104" s="35">
        <f t="shared" si="491"/>
        <v>29.993565599497803</v>
      </c>
      <c r="M1104" s="35">
        <f t="shared" si="492"/>
        <v>62.631165000819266</v>
      </c>
    </row>
    <row r="1105" spans="1:13" ht="25.5">
      <c r="A1105" s="59" t="s">
        <v>80</v>
      </c>
      <c r="B1105" s="28" t="s">
        <v>385</v>
      </c>
      <c r="C1105" s="28" t="s">
        <v>110</v>
      </c>
      <c r="D1105" s="28" t="s">
        <v>46</v>
      </c>
      <c r="E1105" s="28" t="s">
        <v>427</v>
      </c>
      <c r="F1105" s="28" t="s">
        <v>81</v>
      </c>
      <c r="G1105" s="35">
        <f>G1106+G1107</f>
        <v>11220</v>
      </c>
      <c r="H1105" s="35">
        <f t="shared" ref="H1105:K1105" si="512">H1106+H1107</f>
        <v>6120</v>
      </c>
      <c r="I1105" s="35">
        <f t="shared" si="512"/>
        <v>4377.5</v>
      </c>
      <c r="J1105" s="35">
        <f t="shared" si="512"/>
        <v>4377.5</v>
      </c>
      <c r="K1105" s="35">
        <f t="shared" si="512"/>
        <v>4377.5</v>
      </c>
      <c r="L1105" s="35">
        <f t="shared" si="491"/>
        <v>71.527777777777786</v>
      </c>
      <c r="M1105" s="35">
        <f t="shared" si="492"/>
        <v>100</v>
      </c>
    </row>
    <row r="1106" spans="1:13">
      <c r="A1106" s="59" t="s">
        <v>271</v>
      </c>
      <c r="B1106" s="28" t="s">
        <v>385</v>
      </c>
      <c r="C1106" s="28" t="s">
        <v>110</v>
      </c>
      <c r="D1106" s="28" t="s">
        <v>46</v>
      </c>
      <c r="E1106" s="28" t="s">
        <v>427</v>
      </c>
      <c r="F1106" s="28" t="s">
        <v>272</v>
      </c>
      <c r="G1106" s="35">
        <v>1500</v>
      </c>
      <c r="H1106" s="35">
        <v>1620</v>
      </c>
      <c r="I1106" s="35">
        <v>1077.5</v>
      </c>
      <c r="J1106" s="35">
        <v>1077.5</v>
      </c>
      <c r="K1106" s="35">
        <v>1077.5</v>
      </c>
      <c r="L1106" s="35">
        <f t="shared" si="491"/>
        <v>66.512345679012341</v>
      </c>
      <c r="M1106" s="35">
        <f t="shared" si="492"/>
        <v>100</v>
      </c>
    </row>
    <row r="1107" spans="1:13">
      <c r="A1107" s="59" t="s">
        <v>82</v>
      </c>
      <c r="B1107" s="28" t="s">
        <v>385</v>
      </c>
      <c r="C1107" s="28" t="s">
        <v>110</v>
      </c>
      <c r="D1107" s="28" t="s">
        <v>46</v>
      </c>
      <c r="E1107" s="28" t="s">
        <v>427</v>
      </c>
      <c r="F1107" s="28" t="s">
        <v>83</v>
      </c>
      <c r="G1107" s="35">
        <v>9720</v>
      </c>
      <c r="H1107" s="35">
        <v>4500</v>
      </c>
      <c r="I1107" s="35">
        <v>3300</v>
      </c>
      <c r="J1107" s="35">
        <v>3300</v>
      </c>
      <c r="K1107" s="35">
        <v>3300</v>
      </c>
      <c r="L1107" s="35">
        <f t="shared" si="491"/>
        <v>73.333333333333329</v>
      </c>
      <c r="M1107" s="35">
        <f t="shared" si="492"/>
        <v>100</v>
      </c>
    </row>
    <row r="1108" spans="1:13" ht="63.75">
      <c r="A1108" s="59" t="s">
        <v>428</v>
      </c>
      <c r="B1108" s="28" t="s">
        <v>385</v>
      </c>
      <c r="C1108" s="28" t="s">
        <v>110</v>
      </c>
      <c r="D1108" s="28" t="s">
        <v>46</v>
      </c>
      <c r="E1108" s="28" t="s">
        <v>429</v>
      </c>
      <c r="F1108" s="58" t="s">
        <v>0</v>
      </c>
      <c r="G1108" s="35">
        <f>G1109+G1111</f>
        <v>2022</v>
      </c>
      <c r="H1108" s="35">
        <f t="shared" ref="H1108:K1108" si="513">H1109+H1111</f>
        <v>2021.9880000000001</v>
      </c>
      <c r="I1108" s="35">
        <f t="shared" si="513"/>
        <v>2021.9880000000001</v>
      </c>
      <c r="J1108" s="35">
        <f t="shared" si="513"/>
        <v>2021.9880000000001</v>
      </c>
      <c r="K1108" s="35">
        <f t="shared" si="513"/>
        <v>2021.9880000000001</v>
      </c>
      <c r="L1108" s="35">
        <f t="shared" si="491"/>
        <v>100</v>
      </c>
      <c r="M1108" s="35">
        <f t="shared" si="492"/>
        <v>100</v>
      </c>
    </row>
    <row r="1109" spans="1:13" ht="25.5">
      <c r="A1109" s="59" t="s">
        <v>64</v>
      </c>
      <c r="B1109" s="28" t="s">
        <v>385</v>
      </c>
      <c r="C1109" s="28" t="s">
        <v>110</v>
      </c>
      <c r="D1109" s="28" t="s">
        <v>46</v>
      </c>
      <c r="E1109" s="28" t="s">
        <v>429</v>
      </c>
      <c r="F1109" s="28" t="s">
        <v>65</v>
      </c>
      <c r="G1109" s="35">
        <f>G1110</f>
        <v>2022</v>
      </c>
      <c r="H1109" s="35">
        <f t="shared" ref="H1109:K1109" si="514">H1110</f>
        <v>2021.9880000000001</v>
      </c>
      <c r="I1109" s="35">
        <f t="shared" si="514"/>
        <v>2021.9880000000001</v>
      </c>
      <c r="J1109" s="35">
        <f t="shared" si="514"/>
        <v>2021.9880000000001</v>
      </c>
      <c r="K1109" s="35">
        <f t="shared" si="514"/>
        <v>2021.9880000000001</v>
      </c>
      <c r="L1109" s="35">
        <f t="shared" si="491"/>
        <v>100</v>
      </c>
      <c r="M1109" s="35">
        <f t="shared" si="492"/>
        <v>100</v>
      </c>
    </row>
    <row r="1110" spans="1:13" ht="25.5">
      <c r="A1110" s="59" t="s">
        <v>66</v>
      </c>
      <c r="B1110" s="28" t="s">
        <v>385</v>
      </c>
      <c r="C1110" s="28" t="s">
        <v>110</v>
      </c>
      <c r="D1110" s="28" t="s">
        <v>46</v>
      </c>
      <c r="E1110" s="28" t="s">
        <v>429</v>
      </c>
      <c r="F1110" s="28" t="s">
        <v>67</v>
      </c>
      <c r="G1110" s="35">
        <v>2022</v>
      </c>
      <c r="H1110" s="35">
        <v>2021.9880000000001</v>
      </c>
      <c r="I1110" s="35">
        <v>2021.9880000000001</v>
      </c>
      <c r="J1110" s="35">
        <v>2021.9880000000001</v>
      </c>
      <c r="K1110" s="35">
        <v>2021.9880000000001</v>
      </c>
      <c r="L1110" s="35">
        <f t="shared" si="491"/>
        <v>100</v>
      </c>
      <c r="M1110" s="35">
        <f t="shared" si="492"/>
        <v>100</v>
      </c>
    </row>
    <row r="1111" spans="1:13" ht="25.5" hidden="1">
      <c r="A1111" s="59" t="s">
        <v>80</v>
      </c>
      <c r="B1111" s="28" t="s">
        <v>385</v>
      </c>
      <c r="C1111" s="28" t="s">
        <v>110</v>
      </c>
      <c r="D1111" s="28" t="s">
        <v>46</v>
      </c>
      <c r="E1111" s="28" t="s">
        <v>429</v>
      </c>
      <c r="F1111" s="28" t="s">
        <v>81</v>
      </c>
      <c r="G1111" s="35">
        <f>G1112</f>
        <v>0</v>
      </c>
      <c r="H1111" s="35">
        <f t="shared" ref="H1111:K1111" si="515">H1112</f>
        <v>0</v>
      </c>
      <c r="I1111" s="35">
        <f t="shared" si="515"/>
        <v>0</v>
      </c>
      <c r="J1111" s="35">
        <f t="shared" si="515"/>
        <v>0</v>
      </c>
      <c r="K1111" s="35">
        <f t="shared" si="515"/>
        <v>0</v>
      </c>
      <c r="L1111" s="35" t="e">
        <f t="shared" si="491"/>
        <v>#DIV/0!</v>
      </c>
      <c r="M1111" s="35" t="e">
        <f t="shared" si="492"/>
        <v>#DIV/0!</v>
      </c>
    </row>
    <row r="1112" spans="1:13" hidden="1">
      <c r="A1112" s="59" t="s">
        <v>271</v>
      </c>
      <c r="B1112" s="28" t="s">
        <v>385</v>
      </c>
      <c r="C1112" s="28" t="s">
        <v>110</v>
      </c>
      <c r="D1112" s="28" t="s">
        <v>46</v>
      </c>
      <c r="E1112" s="28" t="s">
        <v>429</v>
      </c>
      <c r="F1112" s="28" t="s">
        <v>272</v>
      </c>
      <c r="G1112" s="35"/>
      <c r="H1112" s="35"/>
      <c r="I1112" s="35"/>
      <c r="J1112" s="35"/>
      <c r="K1112" s="35"/>
      <c r="L1112" s="35" t="e">
        <f t="shared" si="491"/>
        <v>#DIV/0!</v>
      </c>
      <c r="M1112" s="35" t="e">
        <f t="shared" si="492"/>
        <v>#DIV/0!</v>
      </c>
    </row>
    <row r="1113" spans="1:13" ht="51">
      <c r="A1113" s="59" t="s">
        <v>430</v>
      </c>
      <c r="B1113" s="28" t="s">
        <v>385</v>
      </c>
      <c r="C1113" s="28" t="s">
        <v>110</v>
      </c>
      <c r="D1113" s="28" t="s">
        <v>46</v>
      </c>
      <c r="E1113" s="28" t="s">
        <v>431</v>
      </c>
      <c r="F1113" s="58" t="s">
        <v>0</v>
      </c>
      <c r="G1113" s="35">
        <f>G1114</f>
        <v>261.60000000000002</v>
      </c>
      <c r="H1113" s="35">
        <f t="shared" ref="H1113:K1114" si="516">H1114</f>
        <v>261.58237000000003</v>
      </c>
      <c r="I1113" s="35">
        <f t="shared" si="516"/>
        <v>261.58237000000003</v>
      </c>
      <c r="J1113" s="35">
        <f t="shared" si="516"/>
        <v>261.58237000000003</v>
      </c>
      <c r="K1113" s="35">
        <f t="shared" si="516"/>
        <v>261.58237000000003</v>
      </c>
      <c r="L1113" s="35">
        <f t="shared" si="491"/>
        <v>100</v>
      </c>
      <c r="M1113" s="35">
        <f t="shared" si="492"/>
        <v>100</v>
      </c>
    </row>
    <row r="1114" spans="1:13">
      <c r="A1114" s="59" t="s">
        <v>26</v>
      </c>
      <c r="B1114" s="28" t="s">
        <v>385</v>
      </c>
      <c r="C1114" s="28" t="s">
        <v>110</v>
      </c>
      <c r="D1114" s="28" t="s">
        <v>46</v>
      </c>
      <c r="E1114" s="28" t="s">
        <v>431</v>
      </c>
      <c r="F1114" s="28" t="s">
        <v>27</v>
      </c>
      <c r="G1114" s="35">
        <f>G1115</f>
        <v>261.60000000000002</v>
      </c>
      <c r="H1114" s="35">
        <f t="shared" si="516"/>
        <v>261.58237000000003</v>
      </c>
      <c r="I1114" s="35">
        <f t="shared" si="516"/>
        <v>261.58237000000003</v>
      </c>
      <c r="J1114" s="35">
        <f t="shared" si="516"/>
        <v>261.58237000000003</v>
      </c>
      <c r="K1114" s="35">
        <f t="shared" si="516"/>
        <v>261.58237000000003</v>
      </c>
      <c r="L1114" s="35">
        <f t="shared" si="491"/>
        <v>100</v>
      </c>
      <c r="M1114" s="35">
        <f t="shared" si="492"/>
        <v>100</v>
      </c>
    </row>
    <row r="1115" spans="1:13">
      <c r="A1115" s="59" t="s">
        <v>56</v>
      </c>
      <c r="B1115" s="28" t="s">
        <v>385</v>
      </c>
      <c r="C1115" s="28" t="s">
        <v>110</v>
      </c>
      <c r="D1115" s="28" t="s">
        <v>46</v>
      </c>
      <c r="E1115" s="28" t="s">
        <v>431</v>
      </c>
      <c r="F1115" s="28" t="s">
        <v>57</v>
      </c>
      <c r="G1115" s="35">
        <v>261.60000000000002</v>
      </c>
      <c r="H1115" s="35">
        <v>261.58237000000003</v>
      </c>
      <c r="I1115" s="35">
        <v>261.58237000000003</v>
      </c>
      <c r="J1115" s="35">
        <v>261.58237000000003</v>
      </c>
      <c r="K1115" s="35">
        <v>261.58237000000003</v>
      </c>
      <c r="L1115" s="35">
        <f t="shared" si="491"/>
        <v>100</v>
      </c>
      <c r="M1115" s="35">
        <f t="shared" si="492"/>
        <v>100</v>
      </c>
    </row>
    <row r="1116" spans="1:13" s="88" customFormat="1" ht="45.75" customHeight="1">
      <c r="A1116" s="59" t="s">
        <v>1243</v>
      </c>
      <c r="B1116" s="28" t="s">
        <v>385</v>
      </c>
      <c r="C1116" s="28" t="s">
        <v>110</v>
      </c>
      <c r="D1116" s="28" t="s">
        <v>46</v>
      </c>
      <c r="E1116" s="29" t="s">
        <v>1242</v>
      </c>
      <c r="F1116" s="28"/>
      <c r="G1116" s="35">
        <f>G1117+G1119+G1121</f>
        <v>6385.4999999999991</v>
      </c>
      <c r="H1116" s="35">
        <f t="shared" ref="H1116:K1116" si="517">H1117+H1119+H1121</f>
        <v>6385.5</v>
      </c>
      <c r="I1116" s="35">
        <f t="shared" si="517"/>
        <v>3368.1224999999999</v>
      </c>
      <c r="J1116" s="35">
        <f t="shared" si="517"/>
        <v>3368.1224999999999</v>
      </c>
      <c r="K1116" s="35">
        <f t="shared" si="517"/>
        <v>2569.9349999999999</v>
      </c>
      <c r="L1116" s="35">
        <f t="shared" si="491"/>
        <v>40.246417665022314</v>
      </c>
      <c r="M1116" s="35">
        <f t="shared" si="492"/>
        <v>76.301708147491667</v>
      </c>
    </row>
    <row r="1117" spans="1:13" s="88" customFormat="1" ht="25.5">
      <c r="A1117" s="59" t="s">
        <v>64</v>
      </c>
      <c r="B1117" s="28" t="s">
        <v>385</v>
      </c>
      <c r="C1117" s="28" t="s">
        <v>110</v>
      </c>
      <c r="D1117" s="28" t="s">
        <v>46</v>
      </c>
      <c r="E1117" s="29" t="s">
        <v>1242</v>
      </c>
      <c r="F1117" s="28">
        <v>200</v>
      </c>
      <c r="G1117" s="35">
        <f>G1118</f>
        <v>2419.1999999999998</v>
      </c>
      <c r="H1117" s="35">
        <f t="shared" ref="H1117:K1117" si="518">H1118</f>
        <v>2419.19</v>
      </c>
      <c r="I1117" s="35">
        <f t="shared" si="518"/>
        <v>0</v>
      </c>
      <c r="J1117" s="35">
        <f t="shared" si="518"/>
        <v>0</v>
      </c>
      <c r="K1117" s="35">
        <f t="shared" si="518"/>
        <v>0</v>
      </c>
      <c r="L1117" s="35">
        <f t="shared" si="491"/>
        <v>0</v>
      </c>
      <c r="M1117" s="35">
        <v>0</v>
      </c>
    </row>
    <row r="1118" spans="1:13" s="88" customFormat="1" ht="25.5">
      <c r="A1118" s="59" t="s">
        <v>66</v>
      </c>
      <c r="B1118" s="28" t="s">
        <v>385</v>
      </c>
      <c r="C1118" s="28" t="s">
        <v>110</v>
      </c>
      <c r="D1118" s="28" t="s">
        <v>46</v>
      </c>
      <c r="E1118" s="29" t="s">
        <v>1242</v>
      </c>
      <c r="F1118" s="28">
        <v>240</v>
      </c>
      <c r="G1118" s="35">
        <v>2419.1999999999998</v>
      </c>
      <c r="H1118" s="35">
        <v>2419.19</v>
      </c>
      <c r="I1118" s="35">
        <v>0</v>
      </c>
      <c r="J1118" s="35">
        <v>0</v>
      </c>
      <c r="K1118" s="35">
        <v>0</v>
      </c>
      <c r="L1118" s="35">
        <f t="shared" si="491"/>
        <v>0</v>
      </c>
      <c r="M1118" s="35">
        <v>0</v>
      </c>
    </row>
    <row r="1119" spans="1:13" s="88" customFormat="1">
      <c r="A1119" s="59" t="s">
        <v>26</v>
      </c>
      <c r="B1119" s="28" t="s">
        <v>385</v>
      </c>
      <c r="C1119" s="28" t="s">
        <v>110</v>
      </c>
      <c r="D1119" s="28" t="s">
        <v>46</v>
      </c>
      <c r="E1119" s="29" t="s">
        <v>1242</v>
      </c>
      <c r="F1119" s="28">
        <v>500</v>
      </c>
      <c r="G1119" s="35">
        <f>G1120</f>
        <v>3368.1</v>
      </c>
      <c r="H1119" s="35">
        <f t="shared" ref="H1119:K1119" si="519">H1120</f>
        <v>3368.1224999999999</v>
      </c>
      <c r="I1119" s="35">
        <f t="shared" si="519"/>
        <v>3368.1224999999999</v>
      </c>
      <c r="J1119" s="35">
        <f t="shared" si="519"/>
        <v>3368.1224999999999</v>
      </c>
      <c r="K1119" s="35">
        <f t="shared" si="519"/>
        <v>2569.9349999999999</v>
      </c>
      <c r="L1119" s="35">
        <f t="shared" si="491"/>
        <v>76.301708147491667</v>
      </c>
      <c r="M1119" s="35">
        <f t="shared" si="492"/>
        <v>76.301708147491667</v>
      </c>
    </row>
    <row r="1120" spans="1:13" s="88" customFormat="1">
      <c r="A1120" s="59" t="s">
        <v>56</v>
      </c>
      <c r="B1120" s="28" t="s">
        <v>385</v>
      </c>
      <c r="C1120" s="28" t="s">
        <v>110</v>
      </c>
      <c r="D1120" s="28" t="s">
        <v>46</v>
      </c>
      <c r="E1120" s="29" t="s">
        <v>1242</v>
      </c>
      <c r="F1120" s="28">
        <v>520</v>
      </c>
      <c r="G1120" s="35">
        <v>3368.1</v>
      </c>
      <c r="H1120" s="35">
        <v>3368.1224999999999</v>
      </c>
      <c r="I1120" s="35">
        <v>3368.1224999999999</v>
      </c>
      <c r="J1120" s="35">
        <v>3368.1224999999999</v>
      </c>
      <c r="K1120" s="35">
        <v>2569.9349999999999</v>
      </c>
      <c r="L1120" s="35">
        <f t="shared" si="491"/>
        <v>76.301708147491667</v>
      </c>
      <c r="M1120" s="35">
        <f t="shared" si="492"/>
        <v>76.301708147491667</v>
      </c>
    </row>
    <row r="1121" spans="1:13" s="88" customFormat="1" ht="25.5">
      <c r="A1121" s="59" t="s">
        <v>80</v>
      </c>
      <c r="B1121" s="28" t="s">
        <v>385</v>
      </c>
      <c r="C1121" s="28" t="s">
        <v>110</v>
      </c>
      <c r="D1121" s="28" t="s">
        <v>46</v>
      </c>
      <c r="E1121" s="29" t="s">
        <v>1242</v>
      </c>
      <c r="F1121" s="28">
        <v>600</v>
      </c>
      <c r="G1121" s="35">
        <f>G1122</f>
        <v>598.20000000000005</v>
      </c>
      <c r="H1121" s="35">
        <f>H1122</f>
        <v>598.1875</v>
      </c>
      <c r="I1121" s="35">
        <f t="shared" ref="I1121:K1121" si="520">I1122</f>
        <v>0</v>
      </c>
      <c r="J1121" s="35">
        <f t="shared" si="520"/>
        <v>0</v>
      </c>
      <c r="K1121" s="35">
        <f t="shared" si="520"/>
        <v>0</v>
      </c>
      <c r="L1121" s="35">
        <f t="shared" si="491"/>
        <v>0</v>
      </c>
      <c r="M1121" s="35">
        <v>0</v>
      </c>
    </row>
    <row r="1122" spans="1:13" s="88" customFormat="1">
      <c r="A1122" s="59" t="s">
        <v>271</v>
      </c>
      <c r="B1122" s="28" t="s">
        <v>385</v>
      </c>
      <c r="C1122" s="28" t="s">
        <v>110</v>
      </c>
      <c r="D1122" s="28" t="s">
        <v>46</v>
      </c>
      <c r="E1122" s="29" t="s">
        <v>1242</v>
      </c>
      <c r="F1122" s="28">
        <v>610</v>
      </c>
      <c r="G1122" s="35">
        <v>598.20000000000005</v>
      </c>
      <c r="H1122" s="35">
        <v>598.1875</v>
      </c>
      <c r="I1122" s="35">
        <v>0</v>
      </c>
      <c r="J1122" s="35">
        <v>0</v>
      </c>
      <c r="K1122" s="35">
        <v>0</v>
      </c>
      <c r="L1122" s="35">
        <f t="shared" si="491"/>
        <v>0</v>
      </c>
      <c r="M1122" s="35">
        <v>0</v>
      </c>
    </row>
    <row r="1123" spans="1:13" ht="25.5">
      <c r="A1123" s="59" t="s">
        <v>403</v>
      </c>
      <c r="B1123" s="28" t="s">
        <v>385</v>
      </c>
      <c r="C1123" s="28" t="s">
        <v>110</v>
      </c>
      <c r="D1123" s="28" t="s">
        <v>46</v>
      </c>
      <c r="E1123" s="28" t="s">
        <v>404</v>
      </c>
      <c r="F1123" s="58" t="s">
        <v>0</v>
      </c>
      <c r="G1123" s="35">
        <f>G1124+G1127</f>
        <v>25351.1</v>
      </c>
      <c r="H1123" s="35">
        <f t="shared" ref="H1123:K1123" si="521">H1124+H1127</f>
        <v>25351.1</v>
      </c>
      <c r="I1123" s="35">
        <f t="shared" si="521"/>
        <v>4921.66</v>
      </c>
      <c r="J1123" s="35">
        <f t="shared" si="521"/>
        <v>4921.66</v>
      </c>
      <c r="K1123" s="35">
        <f t="shared" si="521"/>
        <v>4721.66</v>
      </c>
      <c r="L1123" s="35">
        <f t="shared" ref="L1123:L1186" si="522">K1123/H1123*100</f>
        <v>18.625069523610417</v>
      </c>
      <c r="M1123" s="35">
        <f t="shared" ref="M1123:M1186" si="523">K1123/I1123*100</f>
        <v>95.936330425100465</v>
      </c>
    </row>
    <row r="1124" spans="1:13" ht="76.5">
      <c r="A1124" s="59" t="s">
        <v>367</v>
      </c>
      <c r="B1124" s="28" t="s">
        <v>385</v>
      </c>
      <c r="C1124" s="28" t="s">
        <v>110</v>
      </c>
      <c r="D1124" s="28" t="s">
        <v>46</v>
      </c>
      <c r="E1124" s="28" t="s">
        <v>432</v>
      </c>
      <c r="F1124" s="58" t="s">
        <v>0</v>
      </c>
      <c r="G1124" s="35">
        <f>G1125</f>
        <v>19357.099999999999</v>
      </c>
      <c r="H1124" s="35">
        <f t="shared" ref="H1124:K1125" si="524">H1125</f>
        <v>19357.099999999999</v>
      </c>
      <c r="I1124" s="35">
        <f t="shared" si="524"/>
        <v>0</v>
      </c>
      <c r="J1124" s="35">
        <f t="shared" si="524"/>
        <v>0</v>
      </c>
      <c r="K1124" s="35">
        <f t="shared" si="524"/>
        <v>0</v>
      </c>
      <c r="L1124" s="35">
        <f t="shared" si="522"/>
        <v>0</v>
      </c>
      <c r="M1124" s="35">
        <v>0</v>
      </c>
    </row>
    <row r="1125" spans="1:13">
      <c r="A1125" s="59" t="s">
        <v>72</v>
      </c>
      <c r="B1125" s="28" t="s">
        <v>385</v>
      </c>
      <c r="C1125" s="28" t="s">
        <v>110</v>
      </c>
      <c r="D1125" s="28" t="s">
        <v>46</v>
      </c>
      <c r="E1125" s="28" t="s">
        <v>432</v>
      </c>
      <c r="F1125" s="28" t="s">
        <v>73</v>
      </c>
      <c r="G1125" s="35">
        <f>G1126</f>
        <v>19357.099999999999</v>
      </c>
      <c r="H1125" s="35">
        <f t="shared" si="524"/>
        <v>19357.099999999999</v>
      </c>
      <c r="I1125" s="35">
        <f t="shared" si="524"/>
        <v>0</v>
      </c>
      <c r="J1125" s="35">
        <f t="shared" si="524"/>
        <v>0</v>
      </c>
      <c r="K1125" s="35">
        <f t="shared" si="524"/>
        <v>0</v>
      </c>
      <c r="L1125" s="35">
        <f t="shared" si="522"/>
        <v>0</v>
      </c>
      <c r="M1125" s="35">
        <v>0</v>
      </c>
    </row>
    <row r="1126" spans="1:13">
      <c r="A1126" s="59" t="s">
        <v>369</v>
      </c>
      <c r="B1126" s="28" t="s">
        <v>385</v>
      </c>
      <c r="C1126" s="28" t="s">
        <v>110</v>
      </c>
      <c r="D1126" s="28" t="s">
        <v>46</v>
      </c>
      <c r="E1126" s="28" t="s">
        <v>432</v>
      </c>
      <c r="F1126" s="28" t="s">
        <v>370</v>
      </c>
      <c r="G1126" s="35">
        <v>19357.099999999999</v>
      </c>
      <c r="H1126" s="35">
        <v>19357.099999999999</v>
      </c>
      <c r="I1126" s="35">
        <v>0</v>
      </c>
      <c r="J1126" s="35">
        <v>0</v>
      </c>
      <c r="K1126" s="35">
        <v>0</v>
      </c>
      <c r="L1126" s="35">
        <f t="shared" si="522"/>
        <v>0</v>
      </c>
      <c r="M1126" s="35">
        <v>0</v>
      </c>
    </row>
    <row r="1127" spans="1:13">
      <c r="A1127" s="59" t="s">
        <v>424</v>
      </c>
      <c r="B1127" s="28" t="s">
        <v>385</v>
      </c>
      <c r="C1127" s="28" t="s">
        <v>110</v>
      </c>
      <c r="D1127" s="28" t="s">
        <v>46</v>
      </c>
      <c r="E1127" s="28" t="s">
        <v>433</v>
      </c>
      <c r="F1127" s="58" t="s">
        <v>0</v>
      </c>
      <c r="G1127" s="35">
        <f>G1128</f>
        <v>5994</v>
      </c>
      <c r="H1127" s="35">
        <f t="shared" ref="H1127:K1127" si="525">H1128</f>
        <v>5994</v>
      </c>
      <c r="I1127" s="35">
        <f t="shared" si="525"/>
        <v>4921.66</v>
      </c>
      <c r="J1127" s="35">
        <f t="shared" si="525"/>
        <v>4921.66</v>
      </c>
      <c r="K1127" s="35">
        <f t="shared" si="525"/>
        <v>4721.66</v>
      </c>
      <c r="L1127" s="35">
        <f t="shared" si="522"/>
        <v>78.773106439773102</v>
      </c>
      <c r="M1127" s="35">
        <f t="shared" si="523"/>
        <v>95.936330425100465</v>
      </c>
    </row>
    <row r="1128" spans="1:13" ht="25.5">
      <c r="A1128" s="59" t="s">
        <v>80</v>
      </c>
      <c r="B1128" s="28" t="s">
        <v>385</v>
      </c>
      <c r="C1128" s="28" t="s">
        <v>110</v>
      </c>
      <c r="D1128" s="28" t="s">
        <v>46</v>
      </c>
      <c r="E1128" s="28" t="s">
        <v>433</v>
      </c>
      <c r="F1128" s="28" t="s">
        <v>81</v>
      </c>
      <c r="G1128" s="35">
        <f>G1129+G1130</f>
        <v>5994</v>
      </c>
      <c r="H1128" s="35">
        <f t="shared" ref="H1128:K1128" si="526">H1129+H1130</f>
        <v>5994</v>
      </c>
      <c r="I1128" s="35">
        <f t="shared" si="526"/>
        <v>4921.66</v>
      </c>
      <c r="J1128" s="35">
        <f t="shared" si="526"/>
        <v>4921.66</v>
      </c>
      <c r="K1128" s="35">
        <f t="shared" si="526"/>
        <v>4721.66</v>
      </c>
      <c r="L1128" s="35">
        <f t="shared" si="522"/>
        <v>78.773106439773102</v>
      </c>
      <c r="M1128" s="35">
        <f t="shared" si="523"/>
        <v>95.936330425100465</v>
      </c>
    </row>
    <row r="1129" spans="1:13">
      <c r="A1129" s="59" t="s">
        <v>271</v>
      </c>
      <c r="B1129" s="28" t="s">
        <v>385</v>
      </c>
      <c r="C1129" s="28" t="s">
        <v>110</v>
      </c>
      <c r="D1129" s="28" t="s">
        <v>46</v>
      </c>
      <c r="E1129" s="28" t="s">
        <v>433</v>
      </c>
      <c r="F1129" s="28" t="s">
        <v>272</v>
      </c>
      <c r="G1129" s="35">
        <v>2494</v>
      </c>
      <c r="H1129" s="35">
        <v>3094</v>
      </c>
      <c r="I1129" s="35">
        <v>2668.55</v>
      </c>
      <c r="J1129" s="35">
        <v>2668.55</v>
      </c>
      <c r="K1129" s="35">
        <v>2668.55</v>
      </c>
      <c r="L1129" s="35">
        <f t="shared" si="522"/>
        <v>86.249191984486103</v>
      </c>
      <c r="M1129" s="35">
        <f t="shared" si="523"/>
        <v>100</v>
      </c>
    </row>
    <row r="1130" spans="1:13">
      <c r="A1130" s="59" t="s">
        <v>82</v>
      </c>
      <c r="B1130" s="28" t="s">
        <v>385</v>
      </c>
      <c r="C1130" s="28" t="s">
        <v>110</v>
      </c>
      <c r="D1130" s="28" t="s">
        <v>46</v>
      </c>
      <c r="E1130" s="28" t="s">
        <v>433</v>
      </c>
      <c r="F1130" s="28" t="s">
        <v>83</v>
      </c>
      <c r="G1130" s="35">
        <v>3500</v>
      </c>
      <c r="H1130" s="35">
        <v>2900</v>
      </c>
      <c r="I1130" s="35">
        <v>2253.11</v>
      </c>
      <c r="J1130" s="35">
        <v>2253.11</v>
      </c>
      <c r="K1130" s="35">
        <v>2053.11</v>
      </c>
      <c r="L1130" s="35">
        <f t="shared" si="522"/>
        <v>70.796896551724146</v>
      </c>
      <c r="M1130" s="35">
        <f t="shared" si="523"/>
        <v>91.123380571743056</v>
      </c>
    </row>
    <row r="1131" spans="1:13" ht="25.5">
      <c r="A1131" s="59" t="s">
        <v>412</v>
      </c>
      <c r="B1131" s="28" t="s">
        <v>385</v>
      </c>
      <c r="C1131" s="28" t="s">
        <v>110</v>
      </c>
      <c r="D1131" s="28" t="s">
        <v>46</v>
      </c>
      <c r="E1131" s="28" t="s">
        <v>413</v>
      </c>
      <c r="F1131" s="58" t="s">
        <v>0</v>
      </c>
      <c r="G1131" s="35">
        <f>G1132+G1137+G1147+G1155</f>
        <v>489370.8</v>
      </c>
      <c r="H1131" s="35">
        <f>H1132+H1137+H1147+H1155+H1158</f>
        <v>489370.84535999998</v>
      </c>
      <c r="I1131" s="35">
        <f t="shared" ref="I1131:K1131" si="527">I1132+I1137+I1147+I1155+I1158</f>
        <v>375466.33951000002</v>
      </c>
      <c r="J1131" s="35">
        <f t="shared" si="527"/>
        <v>375466.33951000002</v>
      </c>
      <c r="K1131" s="35">
        <f t="shared" si="527"/>
        <v>375024.53077000001</v>
      </c>
      <c r="L1131" s="35">
        <f t="shared" si="522"/>
        <v>76.634015762446481</v>
      </c>
      <c r="M1131" s="35">
        <f t="shared" si="523"/>
        <v>99.882330666291793</v>
      </c>
    </row>
    <row r="1132" spans="1:13" ht="76.5">
      <c r="A1132" s="59" t="s">
        <v>434</v>
      </c>
      <c r="B1132" s="28" t="s">
        <v>385</v>
      </c>
      <c r="C1132" s="28" t="s">
        <v>110</v>
      </c>
      <c r="D1132" s="28" t="s">
        <v>46</v>
      </c>
      <c r="E1132" s="28" t="s">
        <v>435</v>
      </c>
      <c r="F1132" s="58" t="s">
        <v>0</v>
      </c>
      <c r="G1132" s="35">
        <f>G1133+G1135</f>
        <v>8213.1</v>
      </c>
      <c r="H1132" s="35">
        <f t="shared" ref="H1132:K1132" si="528">H1133+H1135</f>
        <v>8213.1</v>
      </c>
      <c r="I1132" s="35">
        <f t="shared" si="528"/>
        <v>4876.5435099999995</v>
      </c>
      <c r="J1132" s="35">
        <f t="shared" si="528"/>
        <v>4876.5435099999995</v>
      </c>
      <c r="K1132" s="35">
        <f t="shared" si="528"/>
        <v>4876.5431099999996</v>
      </c>
      <c r="L1132" s="35">
        <f t="shared" si="522"/>
        <v>59.375182452423559</v>
      </c>
      <c r="M1132" s="35">
        <f t="shared" si="523"/>
        <v>99.999991797468851</v>
      </c>
    </row>
    <row r="1133" spans="1:13" ht="63.75">
      <c r="A1133" s="59" t="s">
        <v>60</v>
      </c>
      <c r="B1133" s="28" t="s">
        <v>385</v>
      </c>
      <c r="C1133" s="28" t="s">
        <v>110</v>
      </c>
      <c r="D1133" s="28" t="s">
        <v>46</v>
      </c>
      <c r="E1133" s="28" t="s">
        <v>435</v>
      </c>
      <c r="F1133" s="28" t="s">
        <v>61</v>
      </c>
      <c r="G1133" s="35">
        <f>G1134</f>
        <v>7150.4</v>
      </c>
      <c r="H1133" s="35">
        <f t="shared" ref="H1133:K1133" si="529">H1134</f>
        <v>7150.4</v>
      </c>
      <c r="I1133" s="35">
        <f t="shared" si="529"/>
        <v>4372.7177099999999</v>
      </c>
      <c r="J1133" s="35">
        <f t="shared" si="529"/>
        <v>4372.7177099999999</v>
      </c>
      <c r="K1133" s="35">
        <f t="shared" si="529"/>
        <v>4372.7177099999999</v>
      </c>
      <c r="L1133" s="35">
        <f t="shared" si="522"/>
        <v>61.153469875811147</v>
      </c>
      <c r="M1133" s="35">
        <f t="shared" si="523"/>
        <v>100</v>
      </c>
    </row>
    <row r="1134" spans="1:13" ht="25.5">
      <c r="A1134" s="59" t="s">
        <v>62</v>
      </c>
      <c r="B1134" s="28" t="s">
        <v>385</v>
      </c>
      <c r="C1134" s="28" t="s">
        <v>110</v>
      </c>
      <c r="D1134" s="28" t="s">
        <v>46</v>
      </c>
      <c r="E1134" s="28" t="s">
        <v>435</v>
      </c>
      <c r="F1134" s="28" t="s">
        <v>63</v>
      </c>
      <c r="G1134" s="35">
        <v>7150.4</v>
      </c>
      <c r="H1134" s="35">
        <f>5200+380+1570.4</f>
        <v>7150.4</v>
      </c>
      <c r="I1134" s="35">
        <f>3235.056+196.22409+941.43762</f>
        <v>4372.7177099999999</v>
      </c>
      <c r="J1134" s="35">
        <f>196.22409+941.43762+3235.056</f>
        <v>4372.7177099999999</v>
      </c>
      <c r="K1134" s="35">
        <f>3235.056+196.22409+941.43762</f>
        <v>4372.7177099999999</v>
      </c>
      <c r="L1134" s="35">
        <f t="shared" si="522"/>
        <v>61.153469875811147</v>
      </c>
      <c r="M1134" s="35">
        <f t="shared" si="523"/>
        <v>100</v>
      </c>
    </row>
    <row r="1135" spans="1:13" ht="25.5">
      <c r="A1135" s="59" t="s">
        <v>64</v>
      </c>
      <c r="B1135" s="28" t="s">
        <v>385</v>
      </c>
      <c r="C1135" s="28" t="s">
        <v>110</v>
      </c>
      <c r="D1135" s="28" t="s">
        <v>46</v>
      </c>
      <c r="E1135" s="28" t="s">
        <v>435</v>
      </c>
      <c r="F1135" s="28" t="s">
        <v>65</v>
      </c>
      <c r="G1135" s="35">
        <f>G1136</f>
        <v>1062.7</v>
      </c>
      <c r="H1135" s="35">
        <f t="shared" ref="H1135:K1135" si="530">H1136</f>
        <v>1062.7</v>
      </c>
      <c r="I1135" s="35">
        <f t="shared" si="530"/>
        <v>503.82580000000002</v>
      </c>
      <c r="J1135" s="35">
        <f t="shared" si="530"/>
        <v>503.82580000000002</v>
      </c>
      <c r="K1135" s="35">
        <f t="shared" si="530"/>
        <v>503.8254</v>
      </c>
      <c r="L1135" s="35">
        <f t="shared" si="522"/>
        <v>47.409936953044131</v>
      </c>
      <c r="M1135" s="35">
        <f t="shared" si="523"/>
        <v>99.999920607479808</v>
      </c>
    </row>
    <row r="1136" spans="1:13" ht="25.5">
      <c r="A1136" s="59" t="s">
        <v>66</v>
      </c>
      <c r="B1136" s="28" t="s">
        <v>385</v>
      </c>
      <c r="C1136" s="28" t="s">
        <v>110</v>
      </c>
      <c r="D1136" s="28" t="s">
        <v>46</v>
      </c>
      <c r="E1136" s="28" t="s">
        <v>435</v>
      </c>
      <c r="F1136" s="28" t="s">
        <v>67</v>
      </c>
      <c r="G1136" s="35">
        <v>1062.7</v>
      </c>
      <c r="H1136" s="35">
        <v>1062.7</v>
      </c>
      <c r="I1136" s="35">
        <v>503.82580000000002</v>
      </c>
      <c r="J1136" s="35">
        <v>503.82580000000002</v>
      </c>
      <c r="K1136" s="35">
        <v>503.8254</v>
      </c>
      <c r="L1136" s="35">
        <f t="shared" si="522"/>
        <v>47.409936953044131</v>
      </c>
      <c r="M1136" s="35">
        <f t="shared" si="523"/>
        <v>99.999920607479808</v>
      </c>
    </row>
    <row r="1137" spans="1:13" ht="25.5">
      <c r="A1137" s="59" t="s">
        <v>58</v>
      </c>
      <c r="B1137" s="28" t="s">
        <v>385</v>
      </c>
      <c r="C1137" s="28" t="s">
        <v>110</v>
      </c>
      <c r="D1137" s="28" t="s">
        <v>46</v>
      </c>
      <c r="E1137" s="28" t="s">
        <v>436</v>
      </c>
      <c r="F1137" s="58" t="s">
        <v>0</v>
      </c>
      <c r="G1137" s="35">
        <f>G1138+G1140+G1142+G1144</f>
        <v>53769.9</v>
      </c>
      <c r="H1137" s="35">
        <f t="shared" ref="H1137:K1137" si="531">H1138+H1140+H1142+H1144</f>
        <v>53769.9</v>
      </c>
      <c r="I1137" s="35">
        <f t="shared" si="531"/>
        <v>37240.050000000003</v>
      </c>
      <c r="J1137" s="35">
        <f t="shared" si="531"/>
        <v>37240.050000000003</v>
      </c>
      <c r="K1137" s="35">
        <f t="shared" si="531"/>
        <v>37197.121579999999</v>
      </c>
      <c r="L1137" s="35">
        <f t="shared" si="522"/>
        <v>69.178335053626654</v>
      </c>
      <c r="M1137" s="35">
        <f t="shared" si="523"/>
        <v>99.884725127920063</v>
      </c>
    </row>
    <row r="1138" spans="1:13" ht="63.75">
      <c r="A1138" s="59" t="s">
        <v>60</v>
      </c>
      <c r="B1138" s="28" t="s">
        <v>385</v>
      </c>
      <c r="C1138" s="28" t="s">
        <v>110</v>
      </c>
      <c r="D1138" s="28" t="s">
        <v>46</v>
      </c>
      <c r="E1138" s="28" t="s">
        <v>436</v>
      </c>
      <c r="F1138" s="28" t="s">
        <v>61</v>
      </c>
      <c r="G1138" s="35">
        <f>G1139</f>
        <v>51663.9</v>
      </c>
      <c r="H1138" s="35">
        <f t="shared" ref="H1138:K1138" si="532">H1139</f>
        <v>51663.6</v>
      </c>
      <c r="I1138" s="35">
        <f t="shared" si="532"/>
        <v>35807.800000000003</v>
      </c>
      <c r="J1138" s="35">
        <f t="shared" si="532"/>
        <v>35807.800000000003</v>
      </c>
      <c r="K1138" s="35">
        <f t="shared" si="532"/>
        <v>35805.95564</v>
      </c>
      <c r="L1138" s="35">
        <f t="shared" si="522"/>
        <v>69.305963270077967</v>
      </c>
      <c r="M1138" s="35">
        <f t="shared" si="523"/>
        <v>99.994849278648772</v>
      </c>
    </row>
    <row r="1139" spans="1:13" ht="25.5">
      <c r="A1139" s="59" t="s">
        <v>62</v>
      </c>
      <c r="B1139" s="28" t="s">
        <v>385</v>
      </c>
      <c r="C1139" s="28" t="s">
        <v>110</v>
      </c>
      <c r="D1139" s="28" t="s">
        <v>46</v>
      </c>
      <c r="E1139" s="28" t="s">
        <v>436</v>
      </c>
      <c r="F1139" s="28" t="s">
        <v>63</v>
      </c>
      <c r="G1139" s="35">
        <v>51663.9</v>
      </c>
      <c r="H1139" s="35">
        <f>38507.6+2168.5+10987.5</f>
        <v>51663.6</v>
      </c>
      <c r="I1139" s="35">
        <f>26049.7+2004+7754.1</f>
        <v>35807.800000000003</v>
      </c>
      <c r="J1139" s="35">
        <f>26049.7+2004+7754.1</f>
        <v>35807.800000000003</v>
      </c>
      <c r="K1139" s="35">
        <f>26049.69912+2004+7752.25652</f>
        <v>35805.95564</v>
      </c>
      <c r="L1139" s="35">
        <f t="shared" si="522"/>
        <v>69.305963270077967</v>
      </c>
      <c r="M1139" s="35">
        <f t="shared" si="523"/>
        <v>99.994849278648772</v>
      </c>
    </row>
    <row r="1140" spans="1:13" ht="25.5">
      <c r="A1140" s="59" t="s">
        <v>64</v>
      </c>
      <c r="B1140" s="28" t="s">
        <v>385</v>
      </c>
      <c r="C1140" s="28" t="s">
        <v>110</v>
      </c>
      <c r="D1140" s="28" t="s">
        <v>46</v>
      </c>
      <c r="E1140" s="28" t="s">
        <v>436</v>
      </c>
      <c r="F1140" s="28" t="s">
        <v>65</v>
      </c>
      <c r="G1140" s="35">
        <f>G1141</f>
        <v>2045</v>
      </c>
      <c r="H1140" s="35">
        <f t="shared" ref="H1140:K1140" si="533">H1141</f>
        <v>2045</v>
      </c>
      <c r="I1140" s="35">
        <f t="shared" si="533"/>
        <v>1371</v>
      </c>
      <c r="J1140" s="35">
        <f t="shared" si="533"/>
        <v>1371</v>
      </c>
      <c r="K1140" s="35">
        <f t="shared" si="533"/>
        <v>1330.19794</v>
      </c>
      <c r="L1140" s="35">
        <f t="shared" si="522"/>
        <v>65.046354034229822</v>
      </c>
      <c r="M1140" s="35">
        <f t="shared" si="523"/>
        <v>97.023919766593721</v>
      </c>
    </row>
    <row r="1141" spans="1:13" ht="25.5">
      <c r="A1141" s="59" t="s">
        <v>66</v>
      </c>
      <c r="B1141" s="28" t="s">
        <v>385</v>
      </c>
      <c r="C1141" s="28" t="s">
        <v>110</v>
      </c>
      <c r="D1141" s="28" t="s">
        <v>46</v>
      </c>
      <c r="E1141" s="28" t="s">
        <v>436</v>
      </c>
      <c r="F1141" s="28" t="s">
        <v>67</v>
      </c>
      <c r="G1141" s="35">
        <v>2045</v>
      </c>
      <c r="H1141" s="35">
        <v>2045</v>
      </c>
      <c r="I1141" s="35">
        <v>1371</v>
      </c>
      <c r="J1141" s="35">
        <v>1371</v>
      </c>
      <c r="K1141" s="35">
        <v>1330.19794</v>
      </c>
      <c r="L1141" s="35">
        <f t="shared" si="522"/>
        <v>65.046354034229822</v>
      </c>
      <c r="M1141" s="35">
        <f t="shared" si="523"/>
        <v>97.023919766593721</v>
      </c>
    </row>
    <row r="1142" spans="1:13">
      <c r="A1142" s="59" t="s">
        <v>68</v>
      </c>
      <c r="B1142" s="28" t="s">
        <v>385</v>
      </c>
      <c r="C1142" s="28" t="s">
        <v>110</v>
      </c>
      <c r="D1142" s="28" t="s">
        <v>46</v>
      </c>
      <c r="E1142" s="28" t="s">
        <v>436</v>
      </c>
      <c r="F1142" s="28" t="s">
        <v>69</v>
      </c>
      <c r="G1142" s="35">
        <f>G1143</f>
        <v>60</v>
      </c>
      <c r="H1142" s="35">
        <f t="shared" ref="H1142:K1142" si="534">H1143</f>
        <v>60</v>
      </c>
      <c r="I1142" s="35">
        <f t="shared" si="534"/>
        <v>60</v>
      </c>
      <c r="J1142" s="35">
        <f t="shared" si="534"/>
        <v>60</v>
      </c>
      <c r="K1142" s="35">
        <f t="shared" si="534"/>
        <v>60</v>
      </c>
      <c r="L1142" s="35">
        <f t="shared" si="522"/>
        <v>100</v>
      </c>
      <c r="M1142" s="35">
        <f t="shared" si="523"/>
        <v>100</v>
      </c>
    </row>
    <row r="1143" spans="1:13">
      <c r="A1143" s="59" t="s">
        <v>70</v>
      </c>
      <c r="B1143" s="28" t="s">
        <v>385</v>
      </c>
      <c r="C1143" s="28" t="s">
        <v>110</v>
      </c>
      <c r="D1143" s="28" t="s">
        <v>46</v>
      </c>
      <c r="E1143" s="28" t="s">
        <v>436</v>
      </c>
      <c r="F1143" s="28" t="s">
        <v>71</v>
      </c>
      <c r="G1143" s="35">
        <v>60</v>
      </c>
      <c r="H1143" s="35">
        <v>60</v>
      </c>
      <c r="I1143" s="35">
        <v>60</v>
      </c>
      <c r="J1143" s="35">
        <v>60</v>
      </c>
      <c r="K1143" s="35">
        <v>60</v>
      </c>
      <c r="L1143" s="35">
        <f t="shared" si="522"/>
        <v>100</v>
      </c>
      <c r="M1143" s="35">
        <f t="shared" si="523"/>
        <v>100</v>
      </c>
    </row>
    <row r="1144" spans="1:13">
      <c r="A1144" s="59" t="s">
        <v>72</v>
      </c>
      <c r="B1144" s="28" t="s">
        <v>385</v>
      </c>
      <c r="C1144" s="28" t="s">
        <v>110</v>
      </c>
      <c r="D1144" s="28" t="s">
        <v>46</v>
      </c>
      <c r="E1144" s="28" t="s">
        <v>436</v>
      </c>
      <c r="F1144" s="28" t="s">
        <v>73</v>
      </c>
      <c r="G1144" s="35">
        <f>G1146</f>
        <v>1</v>
      </c>
      <c r="H1144" s="35">
        <f>H1146+H1145</f>
        <v>1.3</v>
      </c>
      <c r="I1144" s="35">
        <f>I1146+I1145</f>
        <v>1.25</v>
      </c>
      <c r="J1144" s="35">
        <f t="shared" ref="J1144:K1144" si="535">J1146+J1145</f>
        <v>1.25</v>
      </c>
      <c r="K1144" s="35">
        <f t="shared" si="535"/>
        <v>0.96799999999999997</v>
      </c>
      <c r="L1144" s="35">
        <f t="shared" si="522"/>
        <v>74.461538461538453</v>
      </c>
      <c r="M1144" s="35">
        <f t="shared" si="523"/>
        <v>77.44</v>
      </c>
    </row>
    <row r="1145" spans="1:13">
      <c r="A1145" s="59" t="s">
        <v>84</v>
      </c>
      <c r="B1145" s="28" t="s">
        <v>385</v>
      </c>
      <c r="C1145" s="28" t="s">
        <v>110</v>
      </c>
      <c r="D1145" s="28" t="s">
        <v>46</v>
      </c>
      <c r="E1145" s="28" t="s">
        <v>436</v>
      </c>
      <c r="F1145" s="28">
        <v>830</v>
      </c>
      <c r="G1145" s="35"/>
      <c r="H1145" s="35">
        <v>0.3</v>
      </c>
      <c r="I1145" s="35">
        <v>0.3</v>
      </c>
      <c r="J1145" s="35">
        <v>0.3</v>
      </c>
      <c r="K1145" s="35">
        <v>0.3</v>
      </c>
      <c r="L1145" s="35">
        <f t="shared" si="522"/>
        <v>100</v>
      </c>
      <c r="M1145" s="35">
        <f t="shared" si="523"/>
        <v>100</v>
      </c>
    </row>
    <row r="1146" spans="1:13">
      <c r="A1146" s="59" t="s">
        <v>74</v>
      </c>
      <c r="B1146" s="28" t="s">
        <v>385</v>
      </c>
      <c r="C1146" s="28" t="s">
        <v>110</v>
      </c>
      <c r="D1146" s="28" t="s">
        <v>46</v>
      </c>
      <c r="E1146" s="28" t="s">
        <v>436</v>
      </c>
      <c r="F1146" s="28" t="s">
        <v>75</v>
      </c>
      <c r="G1146" s="35">
        <v>1</v>
      </c>
      <c r="H1146" s="35">
        <v>1</v>
      </c>
      <c r="I1146" s="35">
        <f>0.55+0.2+0.2</f>
        <v>0.95</v>
      </c>
      <c r="J1146" s="63">
        <f>0.55+0.2+0.2</f>
        <v>0.95</v>
      </c>
      <c r="K1146" s="35">
        <f>0.268+0.2+0.2</f>
        <v>0.66800000000000004</v>
      </c>
      <c r="L1146" s="35">
        <f t="shared" si="522"/>
        <v>66.8</v>
      </c>
      <c r="M1146" s="35">
        <f t="shared" si="523"/>
        <v>70.31578947368422</v>
      </c>
    </row>
    <row r="1147" spans="1:13">
      <c r="A1147" s="59" t="s">
        <v>424</v>
      </c>
      <c r="B1147" s="28" t="s">
        <v>385</v>
      </c>
      <c r="C1147" s="28" t="s">
        <v>110</v>
      </c>
      <c r="D1147" s="28" t="s">
        <v>46</v>
      </c>
      <c r="E1147" s="28" t="s">
        <v>437</v>
      </c>
      <c r="F1147" s="58" t="s">
        <v>0</v>
      </c>
      <c r="G1147" s="35">
        <f>G1148+G1150+G1153</f>
        <v>15314</v>
      </c>
      <c r="H1147" s="35">
        <f t="shared" ref="H1147:K1147" si="536">H1148+H1150+H1153</f>
        <v>13514</v>
      </c>
      <c r="I1147" s="35">
        <f t="shared" si="536"/>
        <v>4144.3</v>
      </c>
      <c r="J1147" s="35">
        <f t="shared" si="536"/>
        <v>4144.3</v>
      </c>
      <c r="K1147" s="35">
        <f t="shared" si="536"/>
        <v>3745.4200799999999</v>
      </c>
      <c r="L1147" s="35">
        <f t="shared" si="522"/>
        <v>27.715110848009473</v>
      </c>
      <c r="M1147" s="35">
        <f t="shared" si="523"/>
        <v>90.375216079916981</v>
      </c>
    </row>
    <row r="1148" spans="1:13" ht="25.5">
      <c r="A1148" s="59" t="s">
        <v>64</v>
      </c>
      <c r="B1148" s="28" t="s">
        <v>385</v>
      </c>
      <c r="C1148" s="28" t="s">
        <v>110</v>
      </c>
      <c r="D1148" s="28" t="s">
        <v>46</v>
      </c>
      <c r="E1148" s="28" t="s">
        <v>437</v>
      </c>
      <c r="F1148" s="28" t="s">
        <v>65</v>
      </c>
      <c r="G1148" s="35">
        <f>G1149</f>
        <v>2364</v>
      </c>
      <c r="H1148" s="35">
        <f t="shared" ref="H1148:K1148" si="537">H1149</f>
        <v>2364</v>
      </c>
      <c r="I1148" s="35">
        <f t="shared" si="537"/>
        <v>2364</v>
      </c>
      <c r="J1148" s="35">
        <f t="shared" si="537"/>
        <v>2364</v>
      </c>
      <c r="K1148" s="35">
        <f t="shared" si="537"/>
        <v>1965.1200799999999</v>
      </c>
      <c r="L1148" s="35">
        <f t="shared" si="522"/>
        <v>83.126906937394239</v>
      </c>
      <c r="M1148" s="35">
        <f t="shared" si="523"/>
        <v>83.126906937394239</v>
      </c>
    </row>
    <row r="1149" spans="1:13" ht="25.5">
      <c r="A1149" s="59" t="s">
        <v>66</v>
      </c>
      <c r="B1149" s="28" t="s">
        <v>385</v>
      </c>
      <c r="C1149" s="28" t="s">
        <v>110</v>
      </c>
      <c r="D1149" s="28" t="s">
        <v>46</v>
      </c>
      <c r="E1149" s="28" t="s">
        <v>437</v>
      </c>
      <c r="F1149" s="28" t="s">
        <v>67</v>
      </c>
      <c r="G1149" s="35">
        <v>2364</v>
      </c>
      <c r="H1149" s="35">
        <v>2364</v>
      </c>
      <c r="I1149" s="35">
        <v>2364</v>
      </c>
      <c r="J1149" s="35">
        <v>2364</v>
      </c>
      <c r="K1149" s="35">
        <v>1965.1200799999999</v>
      </c>
      <c r="L1149" s="35">
        <f t="shared" si="522"/>
        <v>83.126906937394239</v>
      </c>
      <c r="M1149" s="35">
        <f t="shared" si="523"/>
        <v>83.126906937394239</v>
      </c>
    </row>
    <row r="1150" spans="1:13">
      <c r="A1150" s="59" t="s">
        <v>68</v>
      </c>
      <c r="B1150" s="28" t="s">
        <v>385</v>
      </c>
      <c r="C1150" s="28" t="s">
        <v>110</v>
      </c>
      <c r="D1150" s="28" t="s">
        <v>46</v>
      </c>
      <c r="E1150" s="28" t="s">
        <v>437</v>
      </c>
      <c r="F1150" s="28" t="s">
        <v>69</v>
      </c>
      <c r="G1150" s="35">
        <f>G1151+G1152</f>
        <v>11250</v>
      </c>
      <c r="H1150" s="35">
        <f t="shared" ref="H1150:K1150" si="538">H1151+H1152</f>
        <v>9450</v>
      </c>
      <c r="I1150" s="35">
        <f t="shared" si="538"/>
        <v>450</v>
      </c>
      <c r="J1150" s="35">
        <f t="shared" si="538"/>
        <v>450</v>
      </c>
      <c r="K1150" s="35">
        <f t="shared" si="538"/>
        <v>450</v>
      </c>
      <c r="L1150" s="35">
        <f t="shared" si="522"/>
        <v>4.7619047619047619</v>
      </c>
      <c r="M1150" s="35">
        <f t="shared" si="523"/>
        <v>100</v>
      </c>
    </row>
    <row r="1151" spans="1:13">
      <c r="A1151" s="59" t="s">
        <v>373</v>
      </c>
      <c r="B1151" s="28" t="s">
        <v>385</v>
      </c>
      <c r="C1151" s="28" t="s">
        <v>110</v>
      </c>
      <c r="D1151" s="28" t="s">
        <v>46</v>
      </c>
      <c r="E1151" s="28" t="s">
        <v>437</v>
      </c>
      <c r="F1151" s="28" t="s">
        <v>374</v>
      </c>
      <c r="G1151" s="35">
        <v>2250</v>
      </c>
      <c r="H1151" s="35">
        <v>450</v>
      </c>
      <c r="I1151" s="35">
        <v>450</v>
      </c>
      <c r="J1151" s="35">
        <v>450</v>
      </c>
      <c r="K1151" s="35">
        <v>450</v>
      </c>
      <c r="L1151" s="35">
        <f t="shared" si="522"/>
        <v>100</v>
      </c>
      <c r="M1151" s="35">
        <f t="shared" si="523"/>
        <v>100</v>
      </c>
    </row>
    <row r="1152" spans="1:13">
      <c r="A1152" s="59" t="s">
        <v>70</v>
      </c>
      <c r="B1152" s="28" t="s">
        <v>385</v>
      </c>
      <c r="C1152" s="28" t="s">
        <v>110</v>
      </c>
      <c r="D1152" s="28" t="s">
        <v>46</v>
      </c>
      <c r="E1152" s="28" t="s">
        <v>437</v>
      </c>
      <c r="F1152" s="28" t="s">
        <v>71</v>
      </c>
      <c r="G1152" s="35">
        <v>9000</v>
      </c>
      <c r="H1152" s="35">
        <v>9000</v>
      </c>
      <c r="I1152" s="35">
        <v>0</v>
      </c>
      <c r="J1152" s="35">
        <v>0</v>
      </c>
      <c r="K1152" s="35">
        <v>0</v>
      </c>
      <c r="L1152" s="35">
        <f t="shared" si="522"/>
        <v>0</v>
      </c>
      <c r="M1152" s="35">
        <v>0</v>
      </c>
    </row>
    <row r="1153" spans="1:13" ht="25.5">
      <c r="A1153" s="59" t="s">
        <v>80</v>
      </c>
      <c r="B1153" s="28" t="s">
        <v>385</v>
      </c>
      <c r="C1153" s="28" t="s">
        <v>110</v>
      </c>
      <c r="D1153" s="28" t="s">
        <v>46</v>
      </c>
      <c r="E1153" s="28" t="s">
        <v>437</v>
      </c>
      <c r="F1153" s="28" t="s">
        <v>81</v>
      </c>
      <c r="G1153" s="35">
        <f>G1154</f>
        <v>1700</v>
      </c>
      <c r="H1153" s="35">
        <f t="shared" ref="H1153:K1153" si="539">H1154</f>
        <v>1700</v>
      </c>
      <c r="I1153" s="35">
        <f t="shared" si="539"/>
        <v>1330.3</v>
      </c>
      <c r="J1153" s="35">
        <f t="shared" si="539"/>
        <v>1330.3</v>
      </c>
      <c r="K1153" s="35">
        <f t="shared" si="539"/>
        <v>1330.3</v>
      </c>
      <c r="L1153" s="35">
        <f t="shared" si="522"/>
        <v>78.252941176470586</v>
      </c>
      <c r="M1153" s="35">
        <f t="shared" si="523"/>
        <v>100</v>
      </c>
    </row>
    <row r="1154" spans="1:13">
      <c r="A1154" s="59" t="s">
        <v>82</v>
      </c>
      <c r="B1154" s="28" t="s">
        <v>385</v>
      </c>
      <c r="C1154" s="28" t="s">
        <v>110</v>
      </c>
      <c r="D1154" s="28" t="s">
        <v>46</v>
      </c>
      <c r="E1154" s="28" t="s">
        <v>437</v>
      </c>
      <c r="F1154" s="28" t="s">
        <v>83</v>
      </c>
      <c r="G1154" s="35">
        <v>1700</v>
      </c>
      <c r="H1154" s="35">
        <v>1700</v>
      </c>
      <c r="I1154" s="35">
        <v>1330.3</v>
      </c>
      <c r="J1154" s="35">
        <v>1330.3</v>
      </c>
      <c r="K1154" s="35">
        <v>1330.3</v>
      </c>
      <c r="L1154" s="35">
        <f t="shared" si="522"/>
        <v>78.252941176470586</v>
      </c>
      <c r="M1154" s="35">
        <f t="shared" si="523"/>
        <v>100</v>
      </c>
    </row>
    <row r="1155" spans="1:13" ht="76.5">
      <c r="A1155" s="59" t="s">
        <v>438</v>
      </c>
      <c r="B1155" s="28" t="s">
        <v>385</v>
      </c>
      <c r="C1155" s="28" t="s">
        <v>110</v>
      </c>
      <c r="D1155" s="28" t="s">
        <v>46</v>
      </c>
      <c r="E1155" s="28" t="s">
        <v>439</v>
      </c>
      <c r="F1155" s="58" t="s">
        <v>0</v>
      </c>
      <c r="G1155" s="35">
        <f>G1156</f>
        <v>412073.8</v>
      </c>
      <c r="H1155" s="35">
        <f t="shared" ref="H1155:K1156" si="540">H1156</f>
        <v>412073.84535999998</v>
      </c>
      <c r="I1155" s="35">
        <f t="shared" si="540"/>
        <v>327405.446</v>
      </c>
      <c r="J1155" s="35">
        <f t="shared" si="540"/>
        <v>327405.446</v>
      </c>
      <c r="K1155" s="35">
        <f t="shared" si="540"/>
        <v>327405.446</v>
      </c>
      <c r="L1155" s="35">
        <f t="shared" si="522"/>
        <v>79.453100381551479</v>
      </c>
      <c r="M1155" s="35">
        <f t="shared" si="523"/>
        <v>100</v>
      </c>
    </row>
    <row r="1156" spans="1:13">
      <c r="A1156" s="59" t="s">
        <v>26</v>
      </c>
      <c r="B1156" s="28" t="s">
        <v>385</v>
      </c>
      <c r="C1156" s="28" t="s">
        <v>110</v>
      </c>
      <c r="D1156" s="28" t="s">
        <v>46</v>
      </c>
      <c r="E1156" s="28" t="s">
        <v>439</v>
      </c>
      <c r="F1156" s="28" t="s">
        <v>27</v>
      </c>
      <c r="G1156" s="35">
        <f>G1157</f>
        <v>412073.8</v>
      </c>
      <c r="H1156" s="35">
        <f t="shared" si="540"/>
        <v>412073.84535999998</v>
      </c>
      <c r="I1156" s="35">
        <f t="shared" si="540"/>
        <v>327405.446</v>
      </c>
      <c r="J1156" s="35">
        <f t="shared" si="540"/>
        <v>327405.446</v>
      </c>
      <c r="K1156" s="35">
        <f t="shared" si="540"/>
        <v>327405.446</v>
      </c>
      <c r="L1156" s="35">
        <f t="shared" si="522"/>
        <v>79.453100381551479</v>
      </c>
      <c r="M1156" s="35">
        <f t="shared" si="523"/>
        <v>100</v>
      </c>
    </row>
    <row r="1157" spans="1:13">
      <c r="A1157" s="59" t="s">
        <v>56</v>
      </c>
      <c r="B1157" s="28" t="s">
        <v>385</v>
      </c>
      <c r="C1157" s="28" t="s">
        <v>110</v>
      </c>
      <c r="D1157" s="28" t="s">
        <v>46</v>
      </c>
      <c r="E1157" s="28" t="s">
        <v>439</v>
      </c>
      <c r="F1157" s="28" t="s">
        <v>57</v>
      </c>
      <c r="G1157" s="35">
        <v>412073.8</v>
      </c>
      <c r="H1157" s="35">
        <v>412073.84535999998</v>
      </c>
      <c r="I1157" s="35">
        <v>327405.446</v>
      </c>
      <c r="J1157" s="35">
        <v>327405.446</v>
      </c>
      <c r="K1157" s="35">
        <v>327405.446</v>
      </c>
      <c r="L1157" s="35">
        <f t="shared" si="522"/>
        <v>79.453100381551479</v>
      </c>
      <c r="M1157" s="35">
        <f t="shared" si="523"/>
        <v>100</v>
      </c>
    </row>
    <row r="1158" spans="1:13">
      <c r="A1158" s="59" t="s">
        <v>1146</v>
      </c>
      <c r="B1158" s="28" t="s">
        <v>385</v>
      </c>
      <c r="C1158" s="28" t="s">
        <v>110</v>
      </c>
      <c r="D1158" s="28" t="s">
        <v>46</v>
      </c>
      <c r="E1158" s="29" t="s">
        <v>1145</v>
      </c>
      <c r="F1158" s="28"/>
      <c r="G1158" s="35"/>
      <c r="H1158" s="35">
        <f>H1159</f>
        <v>1800</v>
      </c>
      <c r="I1158" s="35">
        <f t="shared" ref="I1158:K1159" si="541">I1159</f>
        <v>1800</v>
      </c>
      <c r="J1158" s="35">
        <f t="shared" si="541"/>
        <v>1800</v>
      </c>
      <c r="K1158" s="35">
        <f t="shared" si="541"/>
        <v>1800</v>
      </c>
      <c r="L1158" s="35">
        <f t="shared" si="522"/>
        <v>100</v>
      </c>
      <c r="M1158" s="35">
        <f t="shared" si="523"/>
        <v>100</v>
      </c>
    </row>
    <row r="1159" spans="1:13">
      <c r="A1159" s="62" t="s">
        <v>68</v>
      </c>
      <c r="B1159" s="28" t="s">
        <v>385</v>
      </c>
      <c r="C1159" s="28" t="s">
        <v>110</v>
      </c>
      <c r="D1159" s="28" t="s">
        <v>46</v>
      </c>
      <c r="E1159" s="29" t="s">
        <v>1145</v>
      </c>
      <c r="F1159" s="28">
        <v>300</v>
      </c>
      <c r="G1159" s="35"/>
      <c r="H1159" s="35">
        <f>H1160</f>
        <v>1800</v>
      </c>
      <c r="I1159" s="35">
        <f t="shared" si="541"/>
        <v>1800</v>
      </c>
      <c r="J1159" s="35">
        <f t="shared" si="541"/>
        <v>1800</v>
      </c>
      <c r="K1159" s="35">
        <f t="shared" si="541"/>
        <v>1800</v>
      </c>
      <c r="L1159" s="35">
        <f t="shared" si="522"/>
        <v>100</v>
      </c>
      <c r="M1159" s="35">
        <f t="shared" si="523"/>
        <v>100</v>
      </c>
    </row>
    <row r="1160" spans="1:13">
      <c r="A1160" s="62" t="s">
        <v>373</v>
      </c>
      <c r="B1160" s="28" t="s">
        <v>385</v>
      </c>
      <c r="C1160" s="28" t="s">
        <v>110</v>
      </c>
      <c r="D1160" s="28" t="s">
        <v>46</v>
      </c>
      <c r="E1160" s="29" t="s">
        <v>1145</v>
      </c>
      <c r="F1160" s="28">
        <v>350</v>
      </c>
      <c r="G1160" s="35"/>
      <c r="H1160" s="35">
        <v>1800</v>
      </c>
      <c r="I1160" s="35">
        <v>1800</v>
      </c>
      <c r="J1160" s="35">
        <v>1800</v>
      </c>
      <c r="K1160" s="35">
        <v>1800</v>
      </c>
      <c r="L1160" s="35">
        <f t="shared" si="522"/>
        <v>100</v>
      </c>
      <c r="M1160" s="35">
        <f t="shared" si="523"/>
        <v>100</v>
      </c>
    </row>
    <row r="1161" spans="1:13" s="88" customFormat="1" ht="27.75" customHeight="1">
      <c r="A1161" s="62" t="s">
        <v>388</v>
      </c>
      <c r="B1161" s="28" t="s">
        <v>385</v>
      </c>
      <c r="C1161" s="28" t="s">
        <v>110</v>
      </c>
      <c r="D1161" s="28" t="s">
        <v>46</v>
      </c>
      <c r="E1161" s="29" t="s">
        <v>389</v>
      </c>
      <c r="F1161" s="28"/>
      <c r="G1161" s="36">
        <f>G1162</f>
        <v>670</v>
      </c>
      <c r="H1161" s="35">
        <f t="shared" ref="H1161:K1161" si="542">H1162</f>
        <v>670</v>
      </c>
      <c r="I1161" s="35">
        <f t="shared" si="542"/>
        <v>0</v>
      </c>
      <c r="J1161" s="35">
        <f t="shared" si="542"/>
        <v>0</v>
      </c>
      <c r="K1161" s="35">
        <f t="shared" si="542"/>
        <v>0</v>
      </c>
      <c r="L1161" s="35">
        <f t="shared" si="522"/>
        <v>0</v>
      </c>
      <c r="M1161" s="35">
        <v>0</v>
      </c>
    </row>
    <row r="1162" spans="1:13" s="88" customFormat="1">
      <c r="A1162" s="8" t="s">
        <v>424</v>
      </c>
      <c r="B1162" s="28" t="s">
        <v>385</v>
      </c>
      <c r="C1162" s="28" t="s">
        <v>110</v>
      </c>
      <c r="D1162" s="28" t="s">
        <v>46</v>
      </c>
      <c r="E1162" s="29" t="s">
        <v>1244</v>
      </c>
      <c r="F1162" s="28"/>
      <c r="G1162" s="35">
        <f>G1163+G1165</f>
        <v>670</v>
      </c>
      <c r="H1162" s="35">
        <f t="shared" ref="H1162:K1162" si="543">H1163+H1165</f>
        <v>670</v>
      </c>
      <c r="I1162" s="35">
        <f t="shared" si="543"/>
        <v>0</v>
      </c>
      <c r="J1162" s="35">
        <f t="shared" si="543"/>
        <v>0</v>
      </c>
      <c r="K1162" s="35">
        <f t="shared" si="543"/>
        <v>0</v>
      </c>
      <c r="L1162" s="35">
        <f t="shared" si="522"/>
        <v>0</v>
      </c>
      <c r="M1162" s="35">
        <v>0</v>
      </c>
    </row>
    <row r="1163" spans="1:13" s="88" customFormat="1" ht="25.5">
      <c r="A1163" s="59" t="s">
        <v>64</v>
      </c>
      <c r="B1163" s="28" t="s">
        <v>385</v>
      </c>
      <c r="C1163" s="28" t="s">
        <v>110</v>
      </c>
      <c r="D1163" s="28" t="s">
        <v>46</v>
      </c>
      <c r="E1163" s="29" t="s">
        <v>1244</v>
      </c>
      <c r="F1163" s="28">
        <v>200</v>
      </c>
      <c r="G1163" s="35">
        <f>G1164</f>
        <v>8.4</v>
      </c>
      <c r="H1163" s="35">
        <f t="shared" ref="H1163:K1163" si="544">H1164</f>
        <v>8.4</v>
      </c>
      <c r="I1163" s="35">
        <f t="shared" si="544"/>
        <v>0</v>
      </c>
      <c r="J1163" s="35">
        <f t="shared" si="544"/>
        <v>0</v>
      </c>
      <c r="K1163" s="35">
        <f t="shared" si="544"/>
        <v>0</v>
      </c>
      <c r="L1163" s="35">
        <f t="shared" si="522"/>
        <v>0</v>
      </c>
      <c r="M1163" s="35">
        <v>0</v>
      </c>
    </row>
    <row r="1164" spans="1:13" s="88" customFormat="1" ht="25.5">
      <c r="A1164" s="59" t="s">
        <v>66</v>
      </c>
      <c r="B1164" s="28" t="s">
        <v>385</v>
      </c>
      <c r="C1164" s="28" t="s">
        <v>110</v>
      </c>
      <c r="D1164" s="28" t="s">
        <v>46</v>
      </c>
      <c r="E1164" s="29" t="s">
        <v>1244</v>
      </c>
      <c r="F1164" s="28">
        <v>240</v>
      </c>
      <c r="G1164" s="35">
        <v>8.4</v>
      </c>
      <c r="H1164" s="35">
        <v>8.4</v>
      </c>
      <c r="I1164" s="35">
        <v>0</v>
      </c>
      <c r="J1164" s="35">
        <v>0</v>
      </c>
      <c r="K1164" s="35">
        <v>0</v>
      </c>
      <c r="L1164" s="35">
        <f t="shared" si="522"/>
        <v>0</v>
      </c>
      <c r="M1164" s="35">
        <v>0</v>
      </c>
    </row>
    <row r="1165" spans="1:13" s="88" customFormat="1">
      <c r="A1165" s="59" t="s">
        <v>68</v>
      </c>
      <c r="B1165" s="28" t="s">
        <v>385</v>
      </c>
      <c r="C1165" s="28" t="s">
        <v>110</v>
      </c>
      <c r="D1165" s="28" t="s">
        <v>46</v>
      </c>
      <c r="E1165" s="29" t="s">
        <v>1244</v>
      </c>
      <c r="F1165" s="28">
        <v>300</v>
      </c>
      <c r="G1165" s="35">
        <f>G1166</f>
        <v>661.6</v>
      </c>
      <c r="H1165" s="35">
        <f t="shared" ref="H1165:K1165" si="545">H1166</f>
        <v>661.6</v>
      </c>
      <c r="I1165" s="35">
        <f t="shared" si="545"/>
        <v>0</v>
      </c>
      <c r="J1165" s="35">
        <f t="shared" si="545"/>
        <v>0</v>
      </c>
      <c r="K1165" s="35">
        <f t="shared" si="545"/>
        <v>0</v>
      </c>
      <c r="L1165" s="35">
        <f t="shared" si="522"/>
        <v>0</v>
      </c>
      <c r="M1165" s="35">
        <v>0</v>
      </c>
    </row>
    <row r="1166" spans="1:13" s="88" customFormat="1">
      <c r="A1166" s="59" t="s">
        <v>70</v>
      </c>
      <c r="B1166" s="28" t="s">
        <v>385</v>
      </c>
      <c r="C1166" s="28" t="s">
        <v>110</v>
      </c>
      <c r="D1166" s="28" t="s">
        <v>46</v>
      </c>
      <c r="E1166" s="29" t="s">
        <v>1244</v>
      </c>
      <c r="F1166" s="28">
        <v>360</v>
      </c>
      <c r="G1166" s="35">
        <v>661.6</v>
      </c>
      <c r="H1166" s="35">
        <v>661.6</v>
      </c>
      <c r="I1166" s="35">
        <v>0</v>
      </c>
      <c r="J1166" s="35">
        <v>0</v>
      </c>
      <c r="K1166" s="35">
        <v>0</v>
      </c>
      <c r="L1166" s="35">
        <f t="shared" si="522"/>
        <v>0</v>
      </c>
      <c r="M1166" s="35">
        <v>0</v>
      </c>
    </row>
    <row r="1167" spans="1:13" ht="38.25">
      <c r="A1167" s="59" t="s">
        <v>299</v>
      </c>
      <c r="B1167" s="28" t="s">
        <v>385</v>
      </c>
      <c r="C1167" s="28" t="s">
        <v>110</v>
      </c>
      <c r="D1167" s="28" t="s">
        <v>46</v>
      </c>
      <c r="E1167" s="28" t="s">
        <v>300</v>
      </c>
      <c r="F1167" s="58" t="s">
        <v>0</v>
      </c>
      <c r="G1167" s="35">
        <f>G1168</f>
        <v>600</v>
      </c>
      <c r="H1167" s="35">
        <f t="shared" ref="H1167:K1169" si="546">H1168</f>
        <v>600</v>
      </c>
      <c r="I1167" s="35">
        <f t="shared" si="546"/>
        <v>390</v>
      </c>
      <c r="J1167" s="35">
        <f t="shared" si="546"/>
        <v>390</v>
      </c>
      <c r="K1167" s="35">
        <f t="shared" si="546"/>
        <v>390</v>
      </c>
      <c r="L1167" s="35">
        <f t="shared" si="522"/>
        <v>65</v>
      </c>
      <c r="M1167" s="35">
        <f t="shared" si="523"/>
        <v>100</v>
      </c>
    </row>
    <row r="1168" spans="1:13">
      <c r="A1168" s="59" t="s">
        <v>440</v>
      </c>
      <c r="B1168" s="28" t="s">
        <v>385</v>
      </c>
      <c r="C1168" s="28" t="s">
        <v>110</v>
      </c>
      <c r="D1168" s="28" t="s">
        <v>46</v>
      </c>
      <c r="E1168" s="28" t="s">
        <v>441</v>
      </c>
      <c r="F1168" s="58" t="s">
        <v>0</v>
      </c>
      <c r="G1168" s="35">
        <f>G1169</f>
        <v>600</v>
      </c>
      <c r="H1168" s="35">
        <f t="shared" si="546"/>
        <v>600</v>
      </c>
      <c r="I1168" s="35">
        <f t="shared" si="546"/>
        <v>390</v>
      </c>
      <c r="J1168" s="35">
        <f t="shared" si="546"/>
        <v>390</v>
      </c>
      <c r="K1168" s="35">
        <f t="shared" si="546"/>
        <v>390</v>
      </c>
      <c r="L1168" s="35">
        <f t="shared" si="522"/>
        <v>65</v>
      </c>
      <c r="M1168" s="35">
        <f t="shared" si="523"/>
        <v>100</v>
      </c>
    </row>
    <row r="1169" spans="1:13">
      <c r="A1169" s="59" t="s">
        <v>424</v>
      </c>
      <c r="B1169" s="28" t="s">
        <v>385</v>
      </c>
      <c r="C1169" s="28" t="s">
        <v>110</v>
      </c>
      <c r="D1169" s="28" t="s">
        <v>46</v>
      </c>
      <c r="E1169" s="28" t="s">
        <v>442</v>
      </c>
      <c r="F1169" s="58" t="s">
        <v>0</v>
      </c>
      <c r="G1169" s="35">
        <f>G1170</f>
        <v>600</v>
      </c>
      <c r="H1169" s="35">
        <f t="shared" si="546"/>
        <v>600</v>
      </c>
      <c r="I1169" s="35">
        <f t="shared" si="546"/>
        <v>390</v>
      </c>
      <c r="J1169" s="35">
        <f t="shared" si="546"/>
        <v>390</v>
      </c>
      <c r="K1169" s="35">
        <f t="shared" si="546"/>
        <v>390</v>
      </c>
      <c r="L1169" s="35">
        <f t="shared" si="522"/>
        <v>65</v>
      </c>
      <c r="M1169" s="35">
        <f t="shared" si="523"/>
        <v>100</v>
      </c>
    </row>
    <row r="1170" spans="1:13" ht="25.5">
      <c r="A1170" s="59" t="s">
        <v>80</v>
      </c>
      <c r="B1170" s="28" t="s">
        <v>385</v>
      </c>
      <c r="C1170" s="28" t="s">
        <v>110</v>
      </c>
      <c r="D1170" s="28" t="s">
        <v>46</v>
      </c>
      <c r="E1170" s="28" t="s">
        <v>442</v>
      </c>
      <c r="F1170" s="28" t="s">
        <v>81</v>
      </c>
      <c r="G1170" s="35">
        <f>G1171+G1172</f>
        <v>600</v>
      </c>
      <c r="H1170" s="35">
        <f t="shared" ref="H1170:K1170" si="547">H1171+H1172</f>
        <v>600</v>
      </c>
      <c r="I1170" s="35">
        <f t="shared" si="547"/>
        <v>390</v>
      </c>
      <c r="J1170" s="35">
        <f t="shared" si="547"/>
        <v>390</v>
      </c>
      <c r="K1170" s="35">
        <f t="shared" si="547"/>
        <v>390</v>
      </c>
      <c r="L1170" s="35">
        <f t="shared" si="522"/>
        <v>65</v>
      </c>
      <c r="M1170" s="35">
        <f t="shared" si="523"/>
        <v>100</v>
      </c>
    </row>
    <row r="1171" spans="1:13">
      <c r="A1171" s="59" t="s">
        <v>271</v>
      </c>
      <c r="B1171" s="28" t="s">
        <v>385</v>
      </c>
      <c r="C1171" s="28" t="s">
        <v>110</v>
      </c>
      <c r="D1171" s="28" t="s">
        <v>46</v>
      </c>
      <c r="E1171" s="28" t="s">
        <v>442</v>
      </c>
      <c r="F1171" s="28" t="s">
        <v>272</v>
      </c>
      <c r="G1171" s="35">
        <v>450</v>
      </c>
      <c r="H1171" s="35">
        <v>405</v>
      </c>
      <c r="I1171" s="35">
        <v>195</v>
      </c>
      <c r="J1171" s="35">
        <v>195</v>
      </c>
      <c r="K1171" s="35">
        <v>195</v>
      </c>
      <c r="L1171" s="35">
        <f t="shared" si="522"/>
        <v>48.148148148148145</v>
      </c>
      <c r="M1171" s="35">
        <f t="shared" si="523"/>
        <v>100</v>
      </c>
    </row>
    <row r="1172" spans="1:13">
      <c r="A1172" s="59" t="s">
        <v>82</v>
      </c>
      <c r="B1172" s="28" t="s">
        <v>385</v>
      </c>
      <c r="C1172" s="28" t="s">
        <v>110</v>
      </c>
      <c r="D1172" s="28" t="s">
        <v>46</v>
      </c>
      <c r="E1172" s="28" t="s">
        <v>442</v>
      </c>
      <c r="F1172" s="28" t="s">
        <v>83</v>
      </c>
      <c r="G1172" s="35">
        <v>150</v>
      </c>
      <c r="H1172" s="35">
        <v>195</v>
      </c>
      <c r="I1172" s="35">
        <v>195</v>
      </c>
      <c r="J1172" s="35">
        <v>195</v>
      </c>
      <c r="K1172" s="35">
        <v>195</v>
      </c>
      <c r="L1172" s="35">
        <f t="shared" si="522"/>
        <v>100</v>
      </c>
      <c r="M1172" s="35">
        <f t="shared" si="523"/>
        <v>100</v>
      </c>
    </row>
    <row r="1173" spans="1:13" ht="76.5">
      <c r="A1173" s="59" t="s">
        <v>86</v>
      </c>
      <c r="B1173" s="28" t="s">
        <v>385</v>
      </c>
      <c r="C1173" s="28" t="s">
        <v>110</v>
      </c>
      <c r="D1173" s="28" t="s">
        <v>46</v>
      </c>
      <c r="E1173" s="28" t="s">
        <v>87</v>
      </c>
      <c r="F1173" s="58" t="s">
        <v>0</v>
      </c>
      <c r="G1173" s="35">
        <f>G1174+G1178+G1182</f>
        <v>3400</v>
      </c>
      <c r="H1173" s="35">
        <f t="shared" ref="H1173:K1173" si="548">H1174+H1178+H1182</f>
        <v>3400</v>
      </c>
      <c r="I1173" s="35">
        <f t="shared" si="548"/>
        <v>1406.5129999999999</v>
      </c>
      <c r="J1173" s="35">
        <f t="shared" si="548"/>
        <v>1406.5129999999999</v>
      </c>
      <c r="K1173" s="35">
        <f t="shared" si="548"/>
        <v>1406.5129999999999</v>
      </c>
      <c r="L1173" s="35">
        <f t="shared" si="522"/>
        <v>41.368029411764709</v>
      </c>
      <c r="M1173" s="35">
        <f t="shared" si="523"/>
        <v>100</v>
      </c>
    </row>
    <row r="1174" spans="1:13" ht="51">
      <c r="A1174" s="59" t="s">
        <v>443</v>
      </c>
      <c r="B1174" s="28" t="s">
        <v>385</v>
      </c>
      <c r="C1174" s="28" t="s">
        <v>110</v>
      </c>
      <c r="D1174" s="28" t="s">
        <v>46</v>
      </c>
      <c r="E1174" s="28" t="s">
        <v>444</v>
      </c>
      <c r="F1174" s="58" t="s">
        <v>0</v>
      </c>
      <c r="G1174" s="35">
        <f>G1175</f>
        <v>750</v>
      </c>
      <c r="H1174" s="35">
        <f t="shared" ref="H1174:K1176" si="549">H1175</f>
        <v>750</v>
      </c>
      <c r="I1174" s="35">
        <f t="shared" si="549"/>
        <v>636.56299999999999</v>
      </c>
      <c r="J1174" s="35">
        <f t="shared" si="549"/>
        <v>636.56299999999999</v>
      </c>
      <c r="K1174" s="35">
        <f t="shared" si="549"/>
        <v>636.56299999999999</v>
      </c>
      <c r="L1174" s="35">
        <f t="shared" si="522"/>
        <v>84.875066666666669</v>
      </c>
      <c r="M1174" s="35">
        <f t="shared" si="523"/>
        <v>100</v>
      </c>
    </row>
    <row r="1175" spans="1:13">
      <c r="A1175" s="59" t="s">
        <v>424</v>
      </c>
      <c r="B1175" s="28" t="s">
        <v>385</v>
      </c>
      <c r="C1175" s="28" t="s">
        <v>110</v>
      </c>
      <c r="D1175" s="28" t="s">
        <v>46</v>
      </c>
      <c r="E1175" s="28" t="s">
        <v>445</v>
      </c>
      <c r="F1175" s="58" t="s">
        <v>0</v>
      </c>
      <c r="G1175" s="35">
        <f>G1176</f>
        <v>750</v>
      </c>
      <c r="H1175" s="35">
        <f t="shared" si="549"/>
        <v>750</v>
      </c>
      <c r="I1175" s="35">
        <f t="shared" si="549"/>
        <v>636.56299999999999</v>
      </c>
      <c r="J1175" s="35">
        <f t="shared" si="549"/>
        <v>636.56299999999999</v>
      </c>
      <c r="K1175" s="35">
        <f t="shared" si="549"/>
        <v>636.56299999999999</v>
      </c>
      <c r="L1175" s="35">
        <f t="shared" si="522"/>
        <v>84.875066666666669</v>
      </c>
      <c r="M1175" s="35">
        <f t="shared" si="523"/>
        <v>100</v>
      </c>
    </row>
    <row r="1176" spans="1:13" ht="25.5">
      <c r="A1176" s="59" t="s">
        <v>80</v>
      </c>
      <c r="B1176" s="28" t="s">
        <v>385</v>
      </c>
      <c r="C1176" s="28" t="s">
        <v>110</v>
      </c>
      <c r="D1176" s="28" t="s">
        <v>46</v>
      </c>
      <c r="E1176" s="28" t="s">
        <v>445</v>
      </c>
      <c r="F1176" s="28" t="s">
        <v>81</v>
      </c>
      <c r="G1176" s="35">
        <f>G1177</f>
        <v>750</v>
      </c>
      <c r="H1176" s="35">
        <f t="shared" si="549"/>
        <v>750</v>
      </c>
      <c r="I1176" s="35">
        <f t="shared" si="549"/>
        <v>636.56299999999999</v>
      </c>
      <c r="J1176" s="35">
        <f t="shared" si="549"/>
        <v>636.56299999999999</v>
      </c>
      <c r="K1176" s="35">
        <f t="shared" si="549"/>
        <v>636.56299999999999</v>
      </c>
      <c r="L1176" s="35">
        <f t="shared" si="522"/>
        <v>84.875066666666669</v>
      </c>
      <c r="M1176" s="35">
        <f t="shared" si="523"/>
        <v>100</v>
      </c>
    </row>
    <row r="1177" spans="1:13">
      <c r="A1177" s="59" t="s">
        <v>271</v>
      </c>
      <c r="B1177" s="28" t="s">
        <v>385</v>
      </c>
      <c r="C1177" s="28" t="s">
        <v>110</v>
      </c>
      <c r="D1177" s="28" t="s">
        <v>46</v>
      </c>
      <c r="E1177" s="28" t="s">
        <v>445</v>
      </c>
      <c r="F1177" s="28" t="s">
        <v>272</v>
      </c>
      <c r="G1177" s="35">
        <v>750</v>
      </c>
      <c r="H1177" s="35">
        <v>750</v>
      </c>
      <c r="I1177" s="35">
        <v>636.56299999999999</v>
      </c>
      <c r="J1177" s="35">
        <v>636.56299999999999</v>
      </c>
      <c r="K1177" s="35">
        <v>636.56299999999999</v>
      </c>
      <c r="L1177" s="35">
        <f t="shared" si="522"/>
        <v>84.875066666666669</v>
      </c>
      <c r="M1177" s="35">
        <f t="shared" si="523"/>
        <v>100</v>
      </c>
    </row>
    <row r="1178" spans="1:13" ht="25.5">
      <c r="A1178" s="59" t="s">
        <v>88</v>
      </c>
      <c r="B1178" s="28" t="s">
        <v>385</v>
      </c>
      <c r="C1178" s="28" t="s">
        <v>110</v>
      </c>
      <c r="D1178" s="28" t="s">
        <v>46</v>
      </c>
      <c r="E1178" s="28" t="s">
        <v>89</v>
      </c>
      <c r="F1178" s="58" t="s">
        <v>0</v>
      </c>
      <c r="G1178" s="35">
        <f>G1179</f>
        <v>150</v>
      </c>
      <c r="H1178" s="35">
        <f t="shared" ref="H1178:K1180" si="550">H1179</f>
        <v>150</v>
      </c>
      <c r="I1178" s="35">
        <f t="shared" si="550"/>
        <v>150</v>
      </c>
      <c r="J1178" s="35">
        <f t="shared" si="550"/>
        <v>150</v>
      </c>
      <c r="K1178" s="35">
        <f t="shared" si="550"/>
        <v>150</v>
      </c>
      <c r="L1178" s="35">
        <f t="shared" si="522"/>
        <v>100</v>
      </c>
      <c r="M1178" s="35">
        <f t="shared" si="523"/>
        <v>100</v>
      </c>
    </row>
    <row r="1179" spans="1:13">
      <c r="A1179" s="59" t="s">
        <v>424</v>
      </c>
      <c r="B1179" s="28" t="s">
        <v>385</v>
      </c>
      <c r="C1179" s="28" t="s">
        <v>110</v>
      </c>
      <c r="D1179" s="28" t="s">
        <v>46</v>
      </c>
      <c r="E1179" s="28" t="s">
        <v>446</v>
      </c>
      <c r="F1179" s="58" t="s">
        <v>0</v>
      </c>
      <c r="G1179" s="35">
        <f>G1180</f>
        <v>150</v>
      </c>
      <c r="H1179" s="35">
        <f t="shared" si="550"/>
        <v>150</v>
      </c>
      <c r="I1179" s="35">
        <f t="shared" si="550"/>
        <v>150</v>
      </c>
      <c r="J1179" s="35">
        <f t="shared" si="550"/>
        <v>150</v>
      </c>
      <c r="K1179" s="35">
        <f t="shared" si="550"/>
        <v>150</v>
      </c>
      <c r="L1179" s="35">
        <f t="shared" si="522"/>
        <v>100</v>
      </c>
      <c r="M1179" s="35">
        <f t="shared" si="523"/>
        <v>100</v>
      </c>
    </row>
    <row r="1180" spans="1:13" ht="25.5">
      <c r="A1180" s="59" t="s">
        <v>80</v>
      </c>
      <c r="B1180" s="28" t="s">
        <v>385</v>
      </c>
      <c r="C1180" s="28" t="s">
        <v>110</v>
      </c>
      <c r="D1180" s="28" t="s">
        <v>46</v>
      </c>
      <c r="E1180" s="28" t="s">
        <v>446</v>
      </c>
      <c r="F1180" s="28" t="s">
        <v>81</v>
      </c>
      <c r="G1180" s="35">
        <f>G1181</f>
        <v>150</v>
      </c>
      <c r="H1180" s="35">
        <f t="shared" si="550"/>
        <v>150</v>
      </c>
      <c r="I1180" s="35">
        <f t="shared" si="550"/>
        <v>150</v>
      </c>
      <c r="J1180" s="35">
        <f t="shared" si="550"/>
        <v>150</v>
      </c>
      <c r="K1180" s="35">
        <f t="shared" si="550"/>
        <v>150</v>
      </c>
      <c r="L1180" s="35">
        <f t="shared" si="522"/>
        <v>100</v>
      </c>
      <c r="M1180" s="35">
        <f t="shared" si="523"/>
        <v>100</v>
      </c>
    </row>
    <row r="1181" spans="1:13">
      <c r="A1181" s="59" t="s">
        <v>271</v>
      </c>
      <c r="B1181" s="28" t="s">
        <v>385</v>
      </c>
      <c r="C1181" s="28" t="s">
        <v>110</v>
      </c>
      <c r="D1181" s="28" t="s">
        <v>46</v>
      </c>
      <c r="E1181" s="28" t="s">
        <v>446</v>
      </c>
      <c r="F1181" s="28" t="s">
        <v>272</v>
      </c>
      <c r="G1181" s="35">
        <v>150</v>
      </c>
      <c r="H1181" s="35">
        <v>150</v>
      </c>
      <c r="I1181" s="35">
        <v>150</v>
      </c>
      <c r="J1181" s="35">
        <v>150</v>
      </c>
      <c r="K1181" s="35">
        <v>150</v>
      </c>
      <c r="L1181" s="35">
        <f t="shared" si="522"/>
        <v>100</v>
      </c>
      <c r="M1181" s="35">
        <f t="shared" si="523"/>
        <v>100</v>
      </c>
    </row>
    <row r="1182" spans="1:13" ht="25.5">
      <c r="A1182" s="59" t="s">
        <v>447</v>
      </c>
      <c r="B1182" s="28" t="s">
        <v>385</v>
      </c>
      <c r="C1182" s="28" t="s">
        <v>110</v>
      </c>
      <c r="D1182" s="28" t="s">
        <v>46</v>
      </c>
      <c r="E1182" s="28" t="s">
        <v>448</v>
      </c>
      <c r="F1182" s="58" t="s">
        <v>0</v>
      </c>
      <c r="G1182" s="35">
        <f>G1183</f>
        <v>2500</v>
      </c>
      <c r="H1182" s="35">
        <f t="shared" ref="H1182:K1184" si="551">H1183</f>
        <v>2500</v>
      </c>
      <c r="I1182" s="35">
        <f t="shared" si="551"/>
        <v>619.95000000000005</v>
      </c>
      <c r="J1182" s="35">
        <f t="shared" si="551"/>
        <v>619.95000000000005</v>
      </c>
      <c r="K1182" s="35">
        <f t="shared" si="551"/>
        <v>619.95000000000005</v>
      </c>
      <c r="L1182" s="35">
        <f t="shared" si="522"/>
        <v>24.798000000000002</v>
      </c>
      <c r="M1182" s="35">
        <f t="shared" si="523"/>
        <v>100</v>
      </c>
    </row>
    <row r="1183" spans="1:13" ht="25.5">
      <c r="A1183" s="59" t="s">
        <v>76</v>
      </c>
      <c r="B1183" s="28" t="s">
        <v>385</v>
      </c>
      <c r="C1183" s="28" t="s">
        <v>110</v>
      </c>
      <c r="D1183" s="28" t="s">
        <v>46</v>
      </c>
      <c r="E1183" s="28" t="s">
        <v>449</v>
      </c>
      <c r="F1183" s="58" t="s">
        <v>0</v>
      </c>
      <c r="G1183" s="35">
        <f>G1184</f>
        <v>2500</v>
      </c>
      <c r="H1183" s="35">
        <f t="shared" si="551"/>
        <v>2500</v>
      </c>
      <c r="I1183" s="35">
        <f t="shared" si="551"/>
        <v>619.95000000000005</v>
      </c>
      <c r="J1183" s="35">
        <f t="shared" si="551"/>
        <v>619.95000000000005</v>
      </c>
      <c r="K1183" s="35">
        <f t="shared" si="551"/>
        <v>619.95000000000005</v>
      </c>
      <c r="L1183" s="35">
        <f t="shared" si="522"/>
        <v>24.798000000000002</v>
      </c>
      <c r="M1183" s="35">
        <f t="shared" si="523"/>
        <v>100</v>
      </c>
    </row>
    <row r="1184" spans="1:13" ht="25.5">
      <c r="A1184" s="59" t="s">
        <v>80</v>
      </c>
      <c r="B1184" s="28" t="s">
        <v>385</v>
      </c>
      <c r="C1184" s="28" t="s">
        <v>110</v>
      </c>
      <c r="D1184" s="28" t="s">
        <v>46</v>
      </c>
      <c r="E1184" s="28" t="s">
        <v>449</v>
      </c>
      <c r="F1184" s="28" t="s">
        <v>81</v>
      </c>
      <c r="G1184" s="35">
        <f>G1185</f>
        <v>2500</v>
      </c>
      <c r="H1184" s="35">
        <f t="shared" si="551"/>
        <v>2500</v>
      </c>
      <c r="I1184" s="35">
        <f t="shared" si="551"/>
        <v>619.95000000000005</v>
      </c>
      <c r="J1184" s="35">
        <f t="shared" si="551"/>
        <v>619.95000000000005</v>
      </c>
      <c r="K1184" s="35">
        <f t="shared" si="551"/>
        <v>619.95000000000005</v>
      </c>
      <c r="L1184" s="35">
        <f t="shared" si="522"/>
        <v>24.798000000000002</v>
      </c>
      <c r="M1184" s="35">
        <f t="shared" si="523"/>
        <v>100</v>
      </c>
    </row>
    <row r="1185" spans="1:13">
      <c r="A1185" s="59" t="s">
        <v>271</v>
      </c>
      <c r="B1185" s="28" t="s">
        <v>385</v>
      </c>
      <c r="C1185" s="28" t="s">
        <v>110</v>
      </c>
      <c r="D1185" s="28" t="s">
        <v>46</v>
      </c>
      <c r="E1185" s="28" t="s">
        <v>449</v>
      </c>
      <c r="F1185" s="28" t="s">
        <v>272</v>
      </c>
      <c r="G1185" s="35">
        <v>2500</v>
      </c>
      <c r="H1185" s="35">
        <v>2500</v>
      </c>
      <c r="I1185" s="35">
        <v>619.95000000000005</v>
      </c>
      <c r="J1185" s="35">
        <v>619.95000000000005</v>
      </c>
      <c r="K1185" s="35">
        <v>619.95000000000005</v>
      </c>
      <c r="L1185" s="35">
        <f t="shared" si="522"/>
        <v>24.798000000000002</v>
      </c>
      <c r="M1185" s="35">
        <f t="shared" si="523"/>
        <v>100</v>
      </c>
    </row>
    <row r="1186" spans="1:13" ht="63.75">
      <c r="A1186" s="59" t="s">
        <v>156</v>
      </c>
      <c r="B1186" s="28" t="s">
        <v>385</v>
      </c>
      <c r="C1186" s="28" t="s">
        <v>110</v>
      </c>
      <c r="D1186" s="28" t="s">
        <v>46</v>
      </c>
      <c r="E1186" s="28" t="s">
        <v>157</v>
      </c>
      <c r="F1186" s="58" t="s">
        <v>0</v>
      </c>
      <c r="G1186" s="35">
        <f>G1187</f>
        <v>800</v>
      </c>
      <c r="H1186" s="35">
        <f t="shared" ref="H1186:K1189" si="552">H1187</f>
        <v>800</v>
      </c>
      <c r="I1186" s="35">
        <f t="shared" si="552"/>
        <v>800</v>
      </c>
      <c r="J1186" s="35">
        <f t="shared" si="552"/>
        <v>800</v>
      </c>
      <c r="K1186" s="35">
        <f t="shared" si="552"/>
        <v>450</v>
      </c>
      <c r="L1186" s="35">
        <f t="shared" si="522"/>
        <v>56.25</v>
      </c>
      <c r="M1186" s="35">
        <f t="shared" si="523"/>
        <v>56.25</v>
      </c>
    </row>
    <row r="1187" spans="1:13" ht="51">
      <c r="A1187" s="59" t="s">
        <v>450</v>
      </c>
      <c r="B1187" s="28" t="s">
        <v>385</v>
      </c>
      <c r="C1187" s="28" t="s">
        <v>110</v>
      </c>
      <c r="D1187" s="28" t="s">
        <v>46</v>
      </c>
      <c r="E1187" s="28" t="s">
        <v>451</v>
      </c>
      <c r="F1187" s="58" t="s">
        <v>0</v>
      </c>
      <c r="G1187" s="35">
        <f>G1188</f>
        <v>800</v>
      </c>
      <c r="H1187" s="35">
        <f t="shared" si="552"/>
        <v>800</v>
      </c>
      <c r="I1187" s="35">
        <f t="shared" si="552"/>
        <v>800</v>
      </c>
      <c r="J1187" s="35">
        <f t="shared" si="552"/>
        <v>800</v>
      </c>
      <c r="K1187" s="35">
        <f t="shared" si="552"/>
        <v>450</v>
      </c>
      <c r="L1187" s="35">
        <f t="shared" ref="L1187:L1250" si="553">K1187/H1187*100</f>
        <v>56.25</v>
      </c>
      <c r="M1187" s="35">
        <f t="shared" ref="M1187:M1250" si="554">K1187/I1187*100</f>
        <v>56.25</v>
      </c>
    </row>
    <row r="1188" spans="1:13">
      <c r="A1188" s="59" t="s">
        <v>424</v>
      </c>
      <c r="B1188" s="28" t="s">
        <v>385</v>
      </c>
      <c r="C1188" s="28" t="s">
        <v>110</v>
      </c>
      <c r="D1188" s="28" t="s">
        <v>46</v>
      </c>
      <c r="E1188" s="28" t="s">
        <v>452</v>
      </c>
      <c r="F1188" s="58" t="s">
        <v>0</v>
      </c>
      <c r="G1188" s="35">
        <f>G1189</f>
        <v>800</v>
      </c>
      <c r="H1188" s="35">
        <f t="shared" si="552"/>
        <v>800</v>
      </c>
      <c r="I1188" s="35">
        <f t="shared" si="552"/>
        <v>800</v>
      </c>
      <c r="J1188" s="35">
        <f t="shared" si="552"/>
        <v>800</v>
      </c>
      <c r="K1188" s="35">
        <f t="shared" si="552"/>
        <v>450</v>
      </c>
      <c r="L1188" s="35">
        <f t="shared" si="553"/>
        <v>56.25</v>
      </c>
      <c r="M1188" s="35">
        <f t="shared" si="554"/>
        <v>56.25</v>
      </c>
    </row>
    <row r="1189" spans="1:13" ht="25.5">
      <c r="A1189" s="59" t="s">
        <v>64</v>
      </c>
      <c r="B1189" s="28" t="s">
        <v>385</v>
      </c>
      <c r="C1189" s="28" t="s">
        <v>110</v>
      </c>
      <c r="D1189" s="28" t="s">
        <v>46</v>
      </c>
      <c r="E1189" s="28" t="s">
        <v>452</v>
      </c>
      <c r="F1189" s="28" t="s">
        <v>65</v>
      </c>
      <c r="G1189" s="35">
        <f>G1190</f>
        <v>800</v>
      </c>
      <c r="H1189" s="35">
        <f t="shared" si="552"/>
        <v>800</v>
      </c>
      <c r="I1189" s="35">
        <f t="shared" si="552"/>
        <v>800</v>
      </c>
      <c r="J1189" s="35">
        <f t="shared" si="552"/>
        <v>800</v>
      </c>
      <c r="K1189" s="35">
        <f t="shared" si="552"/>
        <v>450</v>
      </c>
      <c r="L1189" s="35">
        <f t="shared" si="553"/>
        <v>56.25</v>
      </c>
      <c r="M1189" s="35">
        <f t="shared" si="554"/>
        <v>56.25</v>
      </c>
    </row>
    <row r="1190" spans="1:13" ht="25.5">
      <c r="A1190" s="59" t="s">
        <v>66</v>
      </c>
      <c r="B1190" s="28" t="s">
        <v>385</v>
      </c>
      <c r="C1190" s="28" t="s">
        <v>110</v>
      </c>
      <c r="D1190" s="28" t="s">
        <v>46</v>
      </c>
      <c r="E1190" s="28" t="s">
        <v>452</v>
      </c>
      <c r="F1190" s="28" t="s">
        <v>67</v>
      </c>
      <c r="G1190" s="35">
        <v>800</v>
      </c>
      <c r="H1190" s="35">
        <v>800</v>
      </c>
      <c r="I1190" s="35">
        <v>800</v>
      </c>
      <c r="J1190" s="35">
        <v>800</v>
      </c>
      <c r="K1190" s="35">
        <v>450</v>
      </c>
      <c r="L1190" s="35">
        <f t="shared" si="553"/>
        <v>56.25</v>
      </c>
      <c r="M1190" s="35">
        <f t="shared" si="554"/>
        <v>56.25</v>
      </c>
    </row>
    <row r="1191" spans="1:13" ht="51">
      <c r="A1191" s="59" t="s">
        <v>377</v>
      </c>
      <c r="B1191" s="28" t="s">
        <v>385</v>
      </c>
      <c r="C1191" s="28" t="s">
        <v>110</v>
      </c>
      <c r="D1191" s="28" t="s">
        <v>46</v>
      </c>
      <c r="E1191" s="28" t="s">
        <v>378</v>
      </c>
      <c r="F1191" s="58" t="s">
        <v>0</v>
      </c>
      <c r="G1191" s="35">
        <f>G1192</f>
        <v>1415</v>
      </c>
      <c r="H1191" s="35">
        <f t="shared" ref="H1191:K1193" si="555">H1192</f>
        <v>1415</v>
      </c>
      <c r="I1191" s="35">
        <f t="shared" si="555"/>
        <v>920</v>
      </c>
      <c r="J1191" s="35">
        <f t="shared" si="555"/>
        <v>920</v>
      </c>
      <c r="K1191" s="35">
        <f t="shared" si="555"/>
        <v>920</v>
      </c>
      <c r="L1191" s="35">
        <f t="shared" si="553"/>
        <v>65.017667844522961</v>
      </c>
      <c r="M1191" s="35">
        <f t="shared" si="554"/>
        <v>100</v>
      </c>
    </row>
    <row r="1192" spans="1:13">
      <c r="A1192" s="59" t="s">
        <v>424</v>
      </c>
      <c r="B1192" s="28" t="s">
        <v>385</v>
      </c>
      <c r="C1192" s="28" t="s">
        <v>110</v>
      </c>
      <c r="D1192" s="28" t="s">
        <v>46</v>
      </c>
      <c r="E1192" s="28" t="s">
        <v>453</v>
      </c>
      <c r="F1192" s="58" t="s">
        <v>0</v>
      </c>
      <c r="G1192" s="35">
        <f>G1193</f>
        <v>1415</v>
      </c>
      <c r="H1192" s="35">
        <f t="shared" si="555"/>
        <v>1415</v>
      </c>
      <c r="I1192" s="35">
        <f t="shared" si="555"/>
        <v>920</v>
      </c>
      <c r="J1192" s="35">
        <f t="shared" si="555"/>
        <v>920</v>
      </c>
      <c r="K1192" s="35">
        <f t="shared" si="555"/>
        <v>920</v>
      </c>
      <c r="L1192" s="35">
        <f t="shared" si="553"/>
        <v>65.017667844522961</v>
      </c>
      <c r="M1192" s="35">
        <f t="shared" si="554"/>
        <v>100</v>
      </c>
    </row>
    <row r="1193" spans="1:13" ht="25.5">
      <c r="A1193" s="59" t="s">
        <v>80</v>
      </c>
      <c r="B1193" s="28" t="s">
        <v>385</v>
      </c>
      <c r="C1193" s="28" t="s">
        <v>110</v>
      </c>
      <c r="D1193" s="28" t="s">
        <v>46</v>
      </c>
      <c r="E1193" s="28" t="s">
        <v>453</v>
      </c>
      <c r="F1193" s="28" t="s">
        <v>81</v>
      </c>
      <c r="G1193" s="35">
        <f>G1194</f>
        <v>1415</v>
      </c>
      <c r="H1193" s="35">
        <f t="shared" si="555"/>
        <v>1415</v>
      </c>
      <c r="I1193" s="35">
        <f t="shared" si="555"/>
        <v>920</v>
      </c>
      <c r="J1193" s="35">
        <f t="shared" si="555"/>
        <v>920</v>
      </c>
      <c r="K1193" s="35">
        <f t="shared" si="555"/>
        <v>920</v>
      </c>
      <c r="L1193" s="35">
        <f t="shared" si="553"/>
        <v>65.017667844522961</v>
      </c>
      <c r="M1193" s="35">
        <f t="shared" si="554"/>
        <v>100</v>
      </c>
    </row>
    <row r="1194" spans="1:13">
      <c r="A1194" s="59" t="s">
        <v>82</v>
      </c>
      <c r="B1194" s="28" t="s">
        <v>385</v>
      </c>
      <c r="C1194" s="28" t="s">
        <v>110</v>
      </c>
      <c r="D1194" s="28" t="s">
        <v>46</v>
      </c>
      <c r="E1194" s="28" t="s">
        <v>453</v>
      </c>
      <c r="F1194" s="28" t="s">
        <v>83</v>
      </c>
      <c r="G1194" s="35">
        <v>1415</v>
      </c>
      <c r="H1194" s="35">
        <v>1415</v>
      </c>
      <c r="I1194" s="35">
        <v>920</v>
      </c>
      <c r="J1194" s="35">
        <v>920</v>
      </c>
      <c r="K1194" s="35">
        <v>920</v>
      </c>
      <c r="L1194" s="35">
        <f t="shared" si="553"/>
        <v>65.017667844522961</v>
      </c>
      <c r="M1194" s="35">
        <f t="shared" si="554"/>
        <v>100</v>
      </c>
    </row>
    <row r="1195" spans="1:13">
      <c r="A1195" s="62" t="s">
        <v>612</v>
      </c>
      <c r="B1195" s="28" t="s">
        <v>385</v>
      </c>
      <c r="C1195" s="28" t="s">
        <v>110</v>
      </c>
      <c r="D1195" s="28" t="s">
        <v>46</v>
      </c>
      <c r="E1195" s="29" t="s">
        <v>613</v>
      </c>
      <c r="F1195" s="28"/>
      <c r="G1195" s="35"/>
      <c r="H1195" s="35">
        <f>H1196</f>
        <v>3559.56</v>
      </c>
      <c r="I1195" s="35">
        <f t="shared" ref="I1195:K1197" si="556">I1196</f>
        <v>3559.56</v>
      </c>
      <c r="J1195" s="35">
        <f t="shared" si="556"/>
        <v>3559.56</v>
      </c>
      <c r="K1195" s="35">
        <f t="shared" si="556"/>
        <v>3464.28</v>
      </c>
      <c r="L1195" s="35">
        <f t="shared" si="553"/>
        <v>97.323264673161859</v>
      </c>
      <c r="M1195" s="35">
        <f t="shared" si="554"/>
        <v>97.323264673161859</v>
      </c>
    </row>
    <row r="1196" spans="1:13">
      <c r="A1196" s="62" t="s">
        <v>612</v>
      </c>
      <c r="B1196" s="28" t="s">
        <v>385</v>
      </c>
      <c r="C1196" s="28" t="s">
        <v>110</v>
      </c>
      <c r="D1196" s="28" t="s">
        <v>46</v>
      </c>
      <c r="E1196" s="29" t="s">
        <v>614</v>
      </c>
      <c r="F1196" s="28"/>
      <c r="G1196" s="35"/>
      <c r="H1196" s="35">
        <f>H1197</f>
        <v>3559.56</v>
      </c>
      <c r="I1196" s="35">
        <f t="shared" si="556"/>
        <v>3559.56</v>
      </c>
      <c r="J1196" s="35">
        <f t="shared" si="556"/>
        <v>3559.56</v>
      </c>
      <c r="K1196" s="35">
        <f t="shared" si="556"/>
        <v>3464.28</v>
      </c>
      <c r="L1196" s="35">
        <f t="shared" si="553"/>
        <v>97.323264673161859</v>
      </c>
      <c r="M1196" s="35">
        <f t="shared" si="554"/>
        <v>97.323264673161859</v>
      </c>
    </row>
    <row r="1197" spans="1:13" ht="25.5">
      <c r="A1197" s="59" t="s">
        <v>80</v>
      </c>
      <c r="B1197" s="28" t="s">
        <v>385</v>
      </c>
      <c r="C1197" s="28" t="s">
        <v>110</v>
      </c>
      <c r="D1197" s="28" t="s">
        <v>46</v>
      </c>
      <c r="E1197" s="29" t="s">
        <v>614</v>
      </c>
      <c r="F1197" s="28">
        <v>600</v>
      </c>
      <c r="G1197" s="35"/>
      <c r="H1197" s="35">
        <f>H1198</f>
        <v>3559.56</v>
      </c>
      <c r="I1197" s="35">
        <f t="shared" si="556"/>
        <v>3559.56</v>
      </c>
      <c r="J1197" s="35">
        <f t="shared" si="556"/>
        <v>3559.56</v>
      </c>
      <c r="K1197" s="35">
        <f t="shared" si="556"/>
        <v>3464.28</v>
      </c>
      <c r="L1197" s="35">
        <f t="shared" si="553"/>
        <v>97.323264673161859</v>
      </c>
      <c r="M1197" s="35">
        <f t="shared" si="554"/>
        <v>97.323264673161859</v>
      </c>
    </row>
    <row r="1198" spans="1:13" ht="38.25">
      <c r="A1198" s="59" t="s">
        <v>195</v>
      </c>
      <c r="B1198" s="28" t="s">
        <v>385</v>
      </c>
      <c r="C1198" s="28" t="s">
        <v>110</v>
      </c>
      <c r="D1198" s="28" t="s">
        <v>46</v>
      </c>
      <c r="E1198" s="29" t="s">
        <v>614</v>
      </c>
      <c r="F1198" s="28">
        <v>630</v>
      </c>
      <c r="G1198" s="35"/>
      <c r="H1198" s="35">
        <v>3559.56</v>
      </c>
      <c r="I1198" s="35">
        <v>3559.56</v>
      </c>
      <c r="J1198" s="35">
        <v>3559.56</v>
      </c>
      <c r="K1198" s="35">
        <v>3464.28</v>
      </c>
      <c r="L1198" s="35">
        <f t="shared" si="553"/>
        <v>97.323264673161859</v>
      </c>
      <c r="M1198" s="35">
        <f t="shared" si="554"/>
        <v>97.323264673161859</v>
      </c>
    </row>
    <row r="1199" spans="1:13">
      <c r="A1199" s="60" t="s">
        <v>0</v>
      </c>
      <c r="B1199" s="58" t="s">
        <v>0</v>
      </c>
      <c r="C1199" s="58" t="s">
        <v>0</v>
      </c>
      <c r="D1199" s="58" t="s">
        <v>0</v>
      </c>
      <c r="E1199" s="58" t="s">
        <v>0</v>
      </c>
      <c r="F1199" s="58" t="s">
        <v>0</v>
      </c>
      <c r="G1199" s="61" t="s">
        <v>0</v>
      </c>
      <c r="H1199" s="61" t="s">
        <v>0</v>
      </c>
      <c r="I1199" s="61" t="s">
        <v>0</v>
      </c>
      <c r="J1199" s="61" t="s">
        <v>0</v>
      </c>
      <c r="K1199" s="61" t="s">
        <v>0</v>
      </c>
      <c r="L1199" s="35"/>
      <c r="M1199" s="35"/>
    </row>
    <row r="1200" spans="1:13">
      <c r="A1200" s="59" t="s">
        <v>147</v>
      </c>
      <c r="B1200" s="28" t="s">
        <v>385</v>
      </c>
      <c r="C1200" s="28" t="s">
        <v>148</v>
      </c>
      <c r="D1200" s="58" t="s">
        <v>0</v>
      </c>
      <c r="E1200" s="58" t="s">
        <v>0</v>
      </c>
      <c r="F1200" s="58" t="s">
        <v>0</v>
      </c>
      <c r="G1200" s="35">
        <f>G1201+G1241</f>
        <v>1182369.6000000001</v>
      </c>
      <c r="H1200" s="35">
        <f t="shared" ref="H1200:K1200" si="557">H1201+H1241</f>
        <v>1182369.55464</v>
      </c>
      <c r="I1200" s="35">
        <f t="shared" si="557"/>
        <v>853212.46951999993</v>
      </c>
      <c r="J1200" s="35">
        <f t="shared" si="557"/>
        <v>853212.46951999993</v>
      </c>
      <c r="K1200" s="35">
        <f t="shared" si="557"/>
        <v>813505.57471999992</v>
      </c>
      <c r="L1200" s="35">
        <f t="shared" si="553"/>
        <v>68.802987317082156</v>
      </c>
      <c r="M1200" s="35">
        <f t="shared" si="554"/>
        <v>95.346189112503438</v>
      </c>
    </row>
    <row r="1201" spans="1:13">
      <c r="A1201" s="59" t="s">
        <v>454</v>
      </c>
      <c r="B1201" s="28" t="s">
        <v>385</v>
      </c>
      <c r="C1201" s="28" t="s">
        <v>148</v>
      </c>
      <c r="D1201" s="28" t="s">
        <v>19</v>
      </c>
      <c r="E1201" s="58" t="s">
        <v>0</v>
      </c>
      <c r="F1201" s="58" t="s">
        <v>0</v>
      </c>
      <c r="G1201" s="35">
        <f>G1202</f>
        <v>1072545.8</v>
      </c>
      <c r="H1201" s="35">
        <f t="shared" ref="H1201:K1201" si="558">H1202</f>
        <v>1072545.7546399999</v>
      </c>
      <c r="I1201" s="35">
        <f t="shared" si="558"/>
        <v>770145.59951999993</v>
      </c>
      <c r="J1201" s="35">
        <f t="shared" si="558"/>
        <v>770145.59951999993</v>
      </c>
      <c r="K1201" s="35">
        <f t="shared" si="558"/>
        <v>737907.47416999994</v>
      </c>
      <c r="L1201" s="35">
        <f t="shared" si="553"/>
        <v>68.799626587275867</v>
      </c>
      <c r="M1201" s="35">
        <f t="shared" si="554"/>
        <v>95.814022001801646</v>
      </c>
    </row>
    <row r="1202" spans="1:13" ht="38.25">
      <c r="A1202" s="59" t="s">
        <v>112</v>
      </c>
      <c r="B1202" s="28" t="s">
        <v>385</v>
      </c>
      <c r="C1202" s="28" t="s">
        <v>148</v>
      </c>
      <c r="D1202" s="28" t="s">
        <v>19</v>
      </c>
      <c r="E1202" s="28" t="s">
        <v>113</v>
      </c>
      <c r="F1202" s="58" t="s">
        <v>0</v>
      </c>
      <c r="G1202" s="35">
        <f>G1203+G1210</f>
        <v>1072545.8</v>
      </c>
      <c r="H1202" s="35">
        <f t="shared" ref="H1202:K1202" si="559">H1203+H1210</f>
        <v>1072545.7546399999</v>
      </c>
      <c r="I1202" s="35">
        <f t="shared" si="559"/>
        <v>770145.59951999993</v>
      </c>
      <c r="J1202" s="35">
        <f t="shared" si="559"/>
        <v>770145.59951999993</v>
      </c>
      <c r="K1202" s="35">
        <f t="shared" si="559"/>
        <v>737907.47416999994</v>
      </c>
      <c r="L1202" s="35">
        <f t="shared" si="553"/>
        <v>68.799626587275867</v>
      </c>
      <c r="M1202" s="35">
        <f t="shared" si="554"/>
        <v>95.814022001801646</v>
      </c>
    </row>
    <row r="1203" spans="1:13" ht="25.5">
      <c r="A1203" s="59" t="s">
        <v>395</v>
      </c>
      <c r="B1203" s="28" t="s">
        <v>385</v>
      </c>
      <c r="C1203" s="28" t="s">
        <v>148</v>
      </c>
      <c r="D1203" s="28" t="s">
        <v>19</v>
      </c>
      <c r="E1203" s="28" t="s">
        <v>396</v>
      </c>
      <c r="F1203" s="58" t="s">
        <v>0</v>
      </c>
      <c r="G1203" s="35">
        <f>G1204+G1207</f>
        <v>391191.3</v>
      </c>
      <c r="H1203" s="35">
        <f t="shared" ref="H1203:K1203" si="560">H1204+H1207</f>
        <v>391191.3</v>
      </c>
      <c r="I1203" s="35">
        <f t="shared" si="560"/>
        <v>282610.96999999997</v>
      </c>
      <c r="J1203" s="35">
        <f t="shared" si="560"/>
        <v>282610.96999999997</v>
      </c>
      <c r="K1203" s="35">
        <f t="shared" si="560"/>
        <v>259644.03715999998</v>
      </c>
      <c r="L1203" s="35">
        <f t="shared" si="553"/>
        <v>66.372651222049157</v>
      </c>
      <c r="M1203" s="35">
        <f t="shared" si="554"/>
        <v>91.87330455006753</v>
      </c>
    </row>
    <row r="1204" spans="1:13" ht="63.75">
      <c r="A1204" s="59" t="s">
        <v>455</v>
      </c>
      <c r="B1204" s="28" t="s">
        <v>385</v>
      </c>
      <c r="C1204" s="28" t="s">
        <v>148</v>
      </c>
      <c r="D1204" s="28" t="s">
        <v>19</v>
      </c>
      <c r="E1204" s="28" t="s">
        <v>456</v>
      </c>
      <c r="F1204" s="58" t="s">
        <v>0</v>
      </c>
      <c r="G1204" s="35">
        <f>G1205</f>
        <v>2691.1</v>
      </c>
      <c r="H1204" s="35">
        <f t="shared" ref="H1204:K1205" si="561">H1205</f>
        <v>2691.1</v>
      </c>
      <c r="I1204" s="35">
        <f t="shared" si="561"/>
        <v>1637.8989999999999</v>
      </c>
      <c r="J1204" s="35">
        <f t="shared" si="561"/>
        <v>1637.8989999999999</v>
      </c>
      <c r="K1204" s="35">
        <f t="shared" si="561"/>
        <v>1628.5989999999999</v>
      </c>
      <c r="L1204" s="35">
        <f t="shared" si="553"/>
        <v>60.517966630745789</v>
      </c>
      <c r="M1204" s="35">
        <f t="shared" si="554"/>
        <v>99.432199421331845</v>
      </c>
    </row>
    <row r="1205" spans="1:13">
      <c r="A1205" s="59" t="s">
        <v>26</v>
      </c>
      <c r="B1205" s="28" t="s">
        <v>385</v>
      </c>
      <c r="C1205" s="28" t="s">
        <v>148</v>
      </c>
      <c r="D1205" s="28" t="s">
        <v>19</v>
      </c>
      <c r="E1205" s="28" t="s">
        <v>456</v>
      </c>
      <c r="F1205" s="28" t="s">
        <v>27</v>
      </c>
      <c r="G1205" s="35">
        <f>G1206</f>
        <v>2691.1</v>
      </c>
      <c r="H1205" s="35">
        <f t="shared" si="561"/>
        <v>2691.1</v>
      </c>
      <c r="I1205" s="35">
        <f t="shared" si="561"/>
        <v>1637.8989999999999</v>
      </c>
      <c r="J1205" s="35">
        <f t="shared" si="561"/>
        <v>1637.8989999999999</v>
      </c>
      <c r="K1205" s="35">
        <f t="shared" si="561"/>
        <v>1628.5989999999999</v>
      </c>
      <c r="L1205" s="35">
        <f t="shared" si="553"/>
        <v>60.517966630745789</v>
      </c>
      <c r="M1205" s="35">
        <f t="shared" si="554"/>
        <v>99.432199421331845</v>
      </c>
    </row>
    <row r="1206" spans="1:13">
      <c r="A1206" s="59" t="s">
        <v>56</v>
      </c>
      <c r="B1206" s="28" t="s">
        <v>385</v>
      </c>
      <c r="C1206" s="28" t="s">
        <v>148</v>
      </c>
      <c r="D1206" s="28" t="s">
        <v>19</v>
      </c>
      <c r="E1206" s="28" t="s">
        <v>456</v>
      </c>
      <c r="F1206" s="28" t="s">
        <v>57</v>
      </c>
      <c r="G1206" s="35">
        <v>2691.1</v>
      </c>
      <c r="H1206" s="35">
        <v>2691.1</v>
      </c>
      <c r="I1206" s="35">
        <v>1637.8989999999999</v>
      </c>
      <c r="J1206" s="35">
        <v>1637.8989999999999</v>
      </c>
      <c r="K1206" s="35">
        <v>1628.5989999999999</v>
      </c>
      <c r="L1206" s="35">
        <f t="shared" si="553"/>
        <v>60.517966630745789</v>
      </c>
      <c r="M1206" s="35">
        <f t="shared" si="554"/>
        <v>99.432199421331845</v>
      </c>
    </row>
    <row r="1207" spans="1:13" ht="51">
      <c r="A1207" s="59" t="s">
        <v>457</v>
      </c>
      <c r="B1207" s="28" t="s">
        <v>385</v>
      </c>
      <c r="C1207" s="28" t="s">
        <v>148</v>
      </c>
      <c r="D1207" s="28" t="s">
        <v>19</v>
      </c>
      <c r="E1207" s="28" t="s">
        <v>458</v>
      </c>
      <c r="F1207" s="58" t="s">
        <v>0</v>
      </c>
      <c r="G1207" s="35">
        <f>G1208</f>
        <v>388500.2</v>
      </c>
      <c r="H1207" s="35">
        <f t="shared" ref="H1207:K1208" si="562">H1208</f>
        <v>388500.2</v>
      </c>
      <c r="I1207" s="35">
        <f t="shared" si="562"/>
        <v>280973.071</v>
      </c>
      <c r="J1207" s="35">
        <f t="shared" si="562"/>
        <v>280973.071</v>
      </c>
      <c r="K1207" s="35">
        <f t="shared" si="562"/>
        <v>258015.43815999999</v>
      </c>
      <c r="L1207" s="35">
        <f t="shared" si="553"/>
        <v>66.413206006071547</v>
      </c>
      <c r="M1207" s="35">
        <f t="shared" si="554"/>
        <v>91.829240874119208</v>
      </c>
    </row>
    <row r="1208" spans="1:13">
      <c r="A1208" s="59" t="s">
        <v>26</v>
      </c>
      <c r="B1208" s="28" t="s">
        <v>385</v>
      </c>
      <c r="C1208" s="28" t="s">
        <v>148</v>
      </c>
      <c r="D1208" s="28" t="s">
        <v>19</v>
      </c>
      <c r="E1208" s="28" t="s">
        <v>458</v>
      </c>
      <c r="F1208" s="28" t="s">
        <v>27</v>
      </c>
      <c r="G1208" s="35">
        <f>G1209</f>
        <v>388500.2</v>
      </c>
      <c r="H1208" s="35">
        <f t="shared" si="562"/>
        <v>388500.2</v>
      </c>
      <c r="I1208" s="35">
        <f t="shared" si="562"/>
        <v>280973.071</v>
      </c>
      <c r="J1208" s="35">
        <f t="shared" si="562"/>
        <v>280973.071</v>
      </c>
      <c r="K1208" s="35">
        <f t="shared" si="562"/>
        <v>258015.43815999999</v>
      </c>
      <c r="L1208" s="35">
        <f t="shared" si="553"/>
        <v>66.413206006071547</v>
      </c>
      <c r="M1208" s="35">
        <f t="shared" si="554"/>
        <v>91.829240874119208</v>
      </c>
    </row>
    <row r="1209" spans="1:13">
      <c r="A1209" s="59" t="s">
        <v>28</v>
      </c>
      <c r="B1209" s="28" t="s">
        <v>385</v>
      </c>
      <c r="C1209" s="28" t="s">
        <v>148</v>
      </c>
      <c r="D1209" s="28" t="s">
        <v>19</v>
      </c>
      <c r="E1209" s="28" t="s">
        <v>458</v>
      </c>
      <c r="F1209" s="28" t="s">
        <v>29</v>
      </c>
      <c r="G1209" s="35">
        <v>388500.2</v>
      </c>
      <c r="H1209" s="35">
        <v>388500.2</v>
      </c>
      <c r="I1209" s="35">
        <v>280973.071</v>
      </c>
      <c r="J1209" s="35">
        <v>280973.071</v>
      </c>
      <c r="K1209" s="35">
        <v>258015.43815999999</v>
      </c>
      <c r="L1209" s="35">
        <f t="shared" si="553"/>
        <v>66.413206006071547</v>
      </c>
      <c r="M1209" s="35">
        <f t="shared" si="554"/>
        <v>91.829240874119208</v>
      </c>
    </row>
    <row r="1210" spans="1:13" ht="76.5">
      <c r="A1210" s="59" t="s">
        <v>400</v>
      </c>
      <c r="B1210" s="28" t="s">
        <v>385</v>
      </c>
      <c r="C1210" s="28" t="s">
        <v>148</v>
      </c>
      <c r="D1210" s="28" t="s">
        <v>19</v>
      </c>
      <c r="E1210" s="28" t="s">
        <v>401</v>
      </c>
      <c r="F1210" s="58" t="s">
        <v>0</v>
      </c>
      <c r="G1210" s="35">
        <f>G1211+G1214+G1219+G1224+G1227++G1232+G1235+G1238</f>
        <v>681354.5</v>
      </c>
      <c r="H1210" s="35">
        <f t="shared" ref="H1210:K1210" si="563">H1211+H1214+H1219+H1224+H1227++H1232+H1235+H1238</f>
        <v>681354.45464000001</v>
      </c>
      <c r="I1210" s="35">
        <f t="shared" si="563"/>
        <v>487534.62952000002</v>
      </c>
      <c r="J1210" s="35">
        <f t="shared" si="563"/>
        <v>487534.62952000002</v>
      </c>
      <c r="K1210" s="35">
        <f t="shared" si="563"/>
        <v>478263.43700999999</v>
      </c>
      <c r="L1210" s="35">
        <f t="shared" si="553"/>
        <v>70.193044714545081</v>
      </c>
      <c r="M1210" s="35">
        <f t="shared" si="554"/>
        <v>98.098352004425209</v>
      </c>
    </row>
    <row r="1211" spans="1:13" ht="51">
      <c r="A1211" s="59" t="s">
        <v>459</v>
      </c>
      <c r="B1211" s="28" t="s">
        <v>385</v>
      </c>
      <c r="C1211" s="28" t="s">
        <v>148</v>
      </c>
      <c r="D1211" s="28" t="s">
        <v>19</v>
      </c>
      <c r="E1211" s="28" t="s">
        <v>460</v>
      </c>
      <c r="F1211" s="58" t="s">
        <v>0</v>
      </c>
      <c r="G1211" s="35">
        <f>G1212</f>
        <v>88281.2</v>
      </c>
      <c r="H1211" s="35">
        <f t="shared" ref="H1211:K1212" si="564">H1212</f>
        <v>88281.2</v>
      </c>
      <c r="I1211" s="35">
        <f t="shared" si="564"/>
        <v>78887.492970000007</v>
      </c>
      <c r="J1211" s="35">
        <f t="shared" si="564"/>
        <v>78887.492970000007</v>
      </c>
      <c r="K1211" s="35">
        <f t="shared" si="564"/>
        <v>78887.492970000007</v>
      </c>
      <c r="L1211" s="35">
        <f t="shared" si="553"/>
        <v>89.359334682809035</v>
      </c>
      <c r="M1211" s="35">
        <f t="shared" si="554"/>
        <v>100</v>
      </c>
    </row>
    <row r="1212" spans="1:13">
      <c r="A1212" s="59" t="s">
        <v>26</v>
      </c>
      <c r="B1212" s="28" t="s">
        <v>385</v>
      </c>
      <c r="C1212" s="28" t="s">
        <v>148</v>
      </c>
      <c r="D1212" s="28" t="s">
        <v>19</v>
      </c>
      <c r="E1212" s="28" t="s">
        <v>460</v>
      </c>
      <c r="F1212" s="28" t="s">
        <v>27</v>
      </c>
      <c r="G1212" s="35">
        <f>G1213</f>
        <v>88281.2</v>
      </c>
      <c r="H1212" s="35">
        <f t="shared" si="564"/>
        <v>88281.2</v>
      </c>
      <c r="I1212" s="35">
        <f t="shared" si="564"/>
        <v>78887.492970000007</v>
      </c>
      <c r="J1212" s="35">
        <f t="shared" si="564"/>
        <v>78887.492970000007</v>
      </c>
      <c r="K1212" s="35">
        <f t="shared" si="564"/>
        <v>78887.492970000007</v>
      </c>
      <c r="L1212" s="35">
        <f t="shared" si="553"/>
        <v>89.359334682809035</v>
      </c>
      <c r="M1212" s="35">
        <f t="shared" si="554"/>
        <v>100</v>
      </c>
    </row>
    <row r="1213" spans="1:13">
      <c r="A1213" s="59" t="s">
        <v>28</v>
      </c>
      <c r="B1213" s="28" t="s">
        <v>385</v>
      </c>
      <c r="C1213" s="28" t="s">
        <v>148</v>
      </c>
      <c r="D1213" s="28" t="s">
        <v>19</v>
      </c>
      <c r="E1213" s="28" t="s">
        <v>460</v>
      </c>
      <c r="F1213" s="28" t="s">
        <v>29</v>
      </c>
      <c r="G1213" s="35">
        <v>88281.2</v>
      </c>
      <c r="H1213" s="35">
        <v>88281.2</v>
      </c>
      <c r="I1213" s="35">
        <v>78887.492970000007</v>
      </c>
      <c r="J1213" s="35">
        <v>78887.492970000007</v>
      </c>
      <c r="K1213" s="35">
        <v>78887.492970000007</v>
      </c>
      <c r="L1213" s="35">
        <f t="shared" si="553"/>
        <v>89.359334682809035</v>
      </c>
      <c r="M1213" s="35">
        <f t="shared" si="554"/>
        <v>100</v>
      </c>
    </row>
    <row r="1214" spans="1:13" ht="38.25">
      <c r="A1214" s="59" t="s">
        <v>461</v>
      </c>
      <c r="B1214" s="28" t="s">
        <v>385</v>
      </c>
      <c r="C1214" s="28" t="s">
        <v>148</v>
      </c>
      <c r="D1214" s="28" t="s">
        <v>19</v>
      </c>
      <c r="E1214" s="28" t="s">
        <v>462</v>
      </c>
      <c r="F1214" s="58" t="s">
        <v>0</v>
      </c>
      <c r="G1214" s="35">
        <f>G1215+G1217</f>
        <v>8494.4</v>
      </c>
      <c r="H1214" s="35">
        <f t="shared" ref="H1214:K1214" si="565">H1215+H1217</f>
        <v>8494.4</v>
      </c>
      <c r="I1214" s="35">
        <f t="shared" si="565"/>
        <v>6927.9122200000002</v>
      </c>
      <c r="J1214" s="35">
        <f t="shared" si="565"/>
        <v>6927.9122200000002</v>
      </c>
      <c r="K1214" s="35">
        <f t="shared" si="565"/>
        <v>6926.28071</v>
      </c>
      <c r="L1214" s="35">
        <f t="shared" si="553"/>
        <v>81.539375470898477</v>
      </c>
      <c r="M1214" s="35">
        <f t="shared" si="554"/>
        <v>99.976450192378437</v>
      </c>
    </row>
    <row r="1215" spans="1:13" ht="25.5">
      <c r="A1215" s="59" t="s">
        <v>64</v>
      </c>
      <c r="B1215" s="28" t="s">
        <v>385</v>
      </c>
      <c r="C1215" s="28" t="s">
        <v>148</v>
      </c>
      <c r="D1215" s="28" t="s">
        <v>19</v>
      </c>
      <c r="E1215" s="28" t="s">
        <v>462</v>
      </c>
      <c r="F1215" s="28" t="s">
        <v>65</v>
      </c>
      <c r="G1215" s="35">
        <f>G1216</f>
        <v>122.6</v>
      </c>
      <c r="H1215" s="35">
        <f t="shared" ref="H1215:K1215" si="566">H1216</f>
        <v>122.6</v>
      </c>
      <c r="I1215" s="35">
        <f t="shared" si="566"/>
        <v>8.5</v>
      </c>
      <c r="J1215" s="35">
        <f t="shared" si="566"/>
        <v>8.5</v>
      </c>
      <c r="K1215" s="35">
        <f t="shared" si="566"/>
        <v>6.8694899999999999</v>
      </c>
      <c r="L1215" s="35">
        <f t="shared" si="553"/>
        <v>5.6031729200652531</v>
      </c>
      <c r="M1215" s="35">
        <f t="shared" si="554"/>
        <v>80.817529411764696</v>
      </c>
    </row>
    <row r="1216" spans="1:13" ht="25.5">
      <c r="A1216" s="59" t="s">
        <v>66</v>
      </c>
      <c r="B1216" s="28" t="s">
        <v>385</v>
      </c>
      <c r="C1216" s="28" t="s">
        <v>148</v>
      </c>
      <c r="D1216" s="28" t="s">
        <v>19</v>
      </c>
      <c r="E1216" s="28" t="s">
        <v>462</v>
      </c>
      <c r="F1216" s="28" t="s">
        <v>67</v>
      </c>
      <c r="G1216" s="35">
        <v>122.6</v>
      </c>
      <c r="H1216" s="35">
        <v>122.6</v>
      </c>
      <c r="I1216" s="35">
        <v>8.5</v>
      </c>
      <c r="J1216" s="35">
        <v>8.5</v>
      </c>
      <c r="K1216" s="35">
        <v>6.8694899999999999</v>
      </c>
      <c r="L1216" s="35">
        <f t="shared" si="553"/>
        <v>5.6031729200652531</v>
      </c>
      <c r="M1216" s="35">
        <f t="shared" si="554"/>
        <v>80.817529411764696</v>
      </c>
    </row>
    <row r="1217" spans="1:13">
      <c r="A1217" s="59" t="s">
        <v>68</v>
      </c>
      <c r="B1217" s="28" t="s">
        <v>385</v>
      </c>
      <c r="C1217" s="28" t="s">
        <v>148</v>
      </c>
      <c r="D1217" s="28" t="s">
        <v>19</v>
      </c>
      <c r="E1217" s="28" t="s">
        <v>462</v>
      </c>
      <c r="F1217" s="28" t="s">
        <v>69</v>
      </c>
      <c r="G1217" s="35">
        <f>G1218</f>
        <v>8371.7999999999993</v>
      </c>
      <c r="H1217" s="35">
        <f t="shared" ref="H1217:K1217" si="567">H1218</f>
        <v>8371.7999999999993</v>
      </c>
      <c r="I1217" s="35">
        <f t="shared" si="567"/>
        <v>6919.4122200000002</v>
      </c>
      <c r="J1217" s="35">
        <f t="shared" si="567"/>
        <v>6919.4122200000002</v>
      </c>
      <c r="K1217" s="35">
        <f t="shared" si="567"/>
        <v>6919.41122</v>
      </c>
      <c r="L1217" s="35">
        <f t="shared" si="553"/>
        <v>82.651415705105236</v>
      </c>
      <c r="M1217" s="35">
        <f t="shared" si="554"/>
        <v>99.999985547905396</v>
      </c>
    </row>
    <row r="1218" spans="1:13" ht="25.5">
      <c r="A1218" s="59" t="s">
        <v>463</v>
      </c>
      <c r="B1218" s="28" t="s">
        <v>385</v>
      </c>
      <c r="C1218" s="28" t="s">
        <v>148</v>
      </c>
      <c r="D1218" s="28" t="s">
        <v>19</v>
      </c>
      <c r="E1218" s="28" t="s">
        <v>462</v>
      </c>
      <c r="F1218" s="28" t="s">
        <v>464</v>
      </c>
      <c r="G1218" s="35">
        <v>8371.7999999999993</v>
      </c>
      <c r="H1218" s="35">
        <v>8371.7999999999993</v>
      </c>
      <c r="I1218" s="35">
        <v>6919.4122200000002</v>
      </c>
      <c r="J1218" s="35">
        <v>6919.4122200000002</v>
      </c>
      <c r="K1218" s="35">
        <v>6919.41122</v>
      </c>
      <c r="L1218" s="35">
        <f t="shared" si="553"/>
        <v>82.651415705105236</v>
      </c>
      <c r="M1218" s="35">
        <f t="shared" si="554"/>
        <v>99.999985547905396</v>
      </c>
    </row>
    <row r="1219" spans="1:13" ht="25.5">
      <c r="A1219" s="59" t="s">
        <v>465</v>
      </c>
      <c r="B1219" s="28" t="s">
        <v>385</v>
      </c>
      <c r="C1219" s="28" t="s">
        <v>148</v>
      </c>
      <c r="D1219" s="28" t="s">
        <v>19</v>
      </c>
      <c r="E1219" s="28" t="s">
        <v>466</v>
      </c>
      <c r="F1219" s="58" t="s">
        <v>0</v>
      </c>
      <c r="G1219" s="35">
        <f>G1220+G1222</f>
        <v>138474.69999999998</v>
      </c>
      <c r="H1219" s="35">
        <f t="shared" ref="H1219:K1219" si="568">H1220+H1222</f>
        <v>138474.69999999998</v>
      </c>
      <c r="I1219" s="35">
        <f t="shared" si="568"/>
        <v>88955.700000000012</v>
      </c>
      <c r="J1219" s="35">
        <f t="shared" si="568"/>
        <v>88955.700000000012</v>
      </c>
      <c r="K1219" s="35">
        <f t="shared" si="568"/>
        <v>88802.889840000003</v>
      </c>
      <c r="L1219" s="35">
        <f t="shared" si="553"/>
        <v>64.129324591423568</v>
      </c>
      <c r="M1219" s="35">
        <f t="shared" si="554"/>
        <v>99.828217685881839</v>
      </c>
    </row>
    <row r="1220" spans="1:13" ht="25.5">
      <c r="A1220" s="59" t="s">
        <v>64</v>
      </c>
      <c r="B1220" s="28" t="s">
        <v>385</v>
      </c>
      <c r="C1220" s="28" t="s">
        <v>148</v>
      </c>
      <c r="D1220" s="28" t="s">
        <v>19</v>
      </c>
      <c r="E1220" s="28" t="s">
        <v>466</v>
      </c>
      <c r="F1220" s="28" t="s">
        <v>65</v>
      </c>
      <c r="G1220" s="35">
        <f>G1221</f>
        <v>810.4</v>
      </c>
      <c r="H1220" s="35">
        <f t="shared" ref="H1220:K1220" si="569">H1221</f>
        <v>810.4</v>
      </c>
      <c r="I1220" s="35">
        <f t="shared" si="569"/>
        <v>430.1</v>
      </c>
      <c r="J1220" s="35">
        <f t="shared" si="569"/>
        <v>430.1</v>
      </c>
      <c r="K1220" s="35">
        <f t="shared" si="569"/>
        <v>425.35820999999999</v>
      </c>
      <c r="L1220" s="35">
        <f t="shared" si="553"/>
        <v>52.487439536031587</v>
      </c>
      <c r="M1220" s="35">
        <f t="shared" si="554"/>
        <v>98.897514531504299</v>
      </c>
    </row>
    <row r="1221" spans="1:13" ht="25.5">
      <c r="A1221" s="59" t="s">
        <v>66</v>
      </c>
      <c r="B1221" s="28" t="s">
        <v>385</v>
      </c>
      <c r="C1221" s="28" t="s">
        <v>148</v>
      </c>
      <c r="D1221" s="28" t="s">
        <v>19</v>
      </c>
      <c r="E1221" s="28" t="s">
        <v>466</v>
      </c>
      <c r="F1221" s="28" t="s">
        <v>67</v>
      </c>
      <c r="G1221" s="35">
        <v>810.4</v>
      </c>
      <c r="H1221" s="35">
        <v>810.4</v>
      </c>
      <c r="I1221" s="35">
        <v>430.1</v>
      </c>
      <c r="J1221" s="35">
        <v>430.1</v>
      </c>
      <c r="K1221" s="35">
        <v>425.35820999999999</v>
      </c>
      <c r="L1221" s="35">
        <f t="shared" si="553"/>
        <v>52.487439536031587</v>
      </c>
      <c r="M1221" s="35">
        <f t="shared" si="554"/>
        <v>98.897514531504299</v>
      </c>
    </row>
    <row r="1222" spans="1:13">
      <c r="A1222" s="59" t="s">
        <v>68</v>
      </c>
      <c r="B1222" s="28" t="s">
        <v>385</v>
      </c>
      <c r="C1222" s="28" t="s">
        <v>148</v>
      </c>
      <c r="D1222" s="28" t="s">
        <v>19</v>
      </c>
      <c r="E1222" s="28" t="s">
        <v>466</v>
      </c>
      <c r="F1222" s="28" t="s">
        <v>69</v>
      </c>
      <c r="G1222" s="35">
        <f>G1223</f>
        <v>137664.29999999999</v>
      </c>
      <c r="H1222" s="35">
        <f t="shared" ref="H1222:K1222" si="570">H1223</f>
        <v>137664.29999999999</v>
      </c>
      <c r="I1222" s="35">
        <f t="shared" si="570"/>
        <v>88525.6</v>
      </c>
      <c r="J1222" s="35">
        <f t="shared" si="570"/>
        <v>88525.6</v>
      </c>
      <c r="K1222" s="35">
        <f t="shared" si="570"/>
        <v>88377.531629999998</v>
      </c>
      <c r="L1222" s="35">
        <f t="shared" si="553"/>
        <v>64.197857854214931</v>
      </c>
      <c r="M1222" s="35">
        <f t="shared" si="554"/>
        <v>99.83273949004581</v>
      </c>
    </row>
    <row r="1223" spans="1:13" ht="25.5">
      <c r="A1223" s="59" t="s">
        <v>463</v>
      </c>
      <c r="B1223" s="28" t="s">
        <v>385</v>
      </c>
      <c r="C1223" s="28" t="s">
        <v>148</v>
      </c>
      <c r="D1223" s="28" t="s">
        <v>19</v>
      </c>
      <c r="E1223" s="28" t="s">
        <v>466</v>
      </c>
      <c r="F1223" s="28" t="s">
        <v>464</v>
      </c>
      <c r="G1223" s="35">
        <v>137664.29999999999</v>
      </c>
      <c r="H1223" s="35">
        <v>137664.29999999999</v>
      </c>
      <c r="I1223" s="35">
        <v>88525.6</v>
      </c>
      <c r="J1223" s="35">
        <v>88525.6</v>
      </c>
      <c r="K1223" s="35">
        <v>88377.531629999998</v>
      </c>
      <c r="L1223" s="35">
        <f t="shared" si="553"/>
        <v>64.197857854214931</v>
      </c>
      <c r="M1223" s="35">
        <f t="shared" si="554"/>
        <v>99.83273949004581</v>
      </c>
    </row>
    <row r="1224" spans="1:13">
      <c r="A1224" s="59" t="s">
        <v>467</v>
      </c>
      <c r="B1224" s="28" t="s">
        <v>385</v>
      </c>
      <c r="C1224" s="28" t="s">
        <v>148</v>
      </c>
      <c r="D1224" s="28" t="s">
        <v>19</v>
      </c>
      <c r="E1224" s="28" t="s">
        <v>468</v>
      </c>
      <c r="F1224" s="58" t="s">
        <v>0</v>
      </c>
      <c r="G1224" s="35">
        <f>G1225</f>
        <v>184654.3</v>
      </c>
      <c r="H1224" s="35">
        <f t="shared" ref="H1224:K1225" si="571">H1225</f>
        <v>184654.3</v>
      </c>
      <c r="I1224" s="35">
        <f t="shared" si="571"/>
        <v>122099</v>
      </c>
      <c r="J1224" s="35">
        <f t="shared" si="571"/>
        <v>122099</v>
      </c>
      <c r="K1224" s="35">
        <f t="shared" si="571"/>
        <v>121532.45781000001</v>
      </c>
      <c r="L1224" s="35">
        <f t="shared" si="553"/>
        <v>65.816207805612976</v>
      </c>
      <c r="M1224" s="35">
        <f t="shared" si="554"/>
        <v>99.535997682208716</v>
      </c>
    </row>
    <row r="1225" spans="1:13" ht="25.5">
      <c r="A1225" s="59" t="s">
        <v>64</v>
      </c>
      <c r="B1225" s="28" t="s">
        <v>385</v>
      </c>
      <c r="C1225" s="28" t="s">
        <v>148</v>
      </c>
      <c r="D1225" s="28" t="s">
        <v>19</v>
      </c>
      <c r="E1225" s="28" t="s">
        <v>468</v>
      </c>
      <c r="F1225" s="28" t="s">
        <v>65</v>
      </c>
      <c r="G1225" s="35">
        <f>G1226</f>
        <v>184654.3</v>
      </c>
      <c r="H1225" s="35">
        <f t="shared" si="571"/>
        <v>184654.3</v>
      </c>
      <c r="I1225" s="35">
        <f t="shared" si="571"/>
        <v>122099</v>
      </c>
      <c r="J1225" s="35">
        <f t="shared" si="571"/>
        <v>122099</v>
      </c>
      <c r="K1225" s="35">
        <f t="shared" si="571"/>
        <v>121532.45781000001</v>
      </c>
      <c r="L1225" s="35">
        <f t="shared" si="553"/>
        <v>65.816207805612976</v>
      </c>
      <c r="M1225" s="35">
        <f t="shared" si="554"/>
        <v>99.535997682208716</v>
      </c>
    </row>
    <row r="1226" spans="1:13" ht="25.5">
      <c r="A1226" s="59" t="s">
        <v>66</v>
      </c>
      <c r="B1226" s="28" t="s">
        <v>385</v>
      </c>
      <c r="C1226" s="28" t="s">
        <v>148</v>
      </c>
      <c r="D1226" s="28" t="s">
        <v>19</v>
      </c>
      <c r="E1226" s="28" t="s">
        <v>468</v>
      </c>
      <c r="F1226" s="28" t="s">
        <v>67</v>
      </c>
      <c r="G1226" s="35">
        <v>184654.3</v>
      </c>
      <c r="H1226" s="35">
        <v>184654.3</v>
      </c>
      <c r="I1226" s="35">
        <v>122099</v>
      </c>
      <c r="J1226" s="35">
        <v>122099</v>
      </c>
      <c r="K1226" s="35">
        <v>121532.45781000001</v>
      </c>
      <c r="L1226" s="35">
        <f t="shared" si="553"/>
        <v>65.816207805612976</v>
      </c>
      <c r="M1226" s="35">
        <f t="shared" si="554"/>
        <v>99.535997682208716</v>
      </c>
    </row>
    <row r="1227" spans="1:13" ht="25.5">
      <c r="A1227" s="59" t="s">
        <v>469</v>
      </c>
      <c r="B1227" s="28" t="s">
        <v>385</v>
      </c>
      <c r="C1227" s="28" t="s">
        <v>148</v>
      </c>
      <c r="D1227" s="28" t="s">
        <v>19</v>
      </c>
      <c r="E1227" s="28" t="s">
        <v>470</v>
      </c>
      <c r="F1227" s="58" t="s">
        <v>0</v>
      </c>
      <c r="G1227" s="35">
        <f>G1228+G1230</f>
        <v>158290.20000000001</v>
      </c>
      <c r="H1227" s="35">
        <f t="shared" ref="H1227:K1227" si="572">H1228+H1230</f>
        <v>158290.20000000001</v>
      </c>
      <c r="I1227" s="35">
        <f t="shared" si="572"/>
        <v>104617.8</v>
      </c>
      <c r="J1227" s="35">
        <f t="shared" si="572"/>
        <v>104617.8</v>
      </c>
      <c r="K1227" s="35">
        <f t="shared" si="572"/>
        <v>104382.67858000001</v>
      </c>
      <c r="L1227" s="35">
        <f t="shared" si="553"/>
        <v>65.943866758649619</v>
      </c>
      <c r="M1227" s="35">
        <f t="shared" si="554"/>
        <v>99.775256772748051</v>
      </c>
    </row>
    <row r="1228" spans="1:13" ht="25.5">
      <c r="A1228" s="59" t="s">
        <v>64</v>
      </c>
      <c r="B1228" s="28" t="s">
        <v>385</v>
      </c>
      <c r="C1228" s="28" t="s">
        <v>148</v>
      </c>
      <c r="D1228" s="28" t="s">
        <v>19</v>
      </c>
      <c r="E1228" s="28" t="s">
        <v>470</v>
      </c>
      <c r="F1228" s="28" t="s">
        <v>65</v>
      </c>
      <c r="G1228" s="35">
        <f>G1229</f>
        <v>1055.5999999999999</v>
      </c>
      <c r="H1228" s="35">
        <f t="shared" ref="H1228:K1228" si="573">H1229</f>
        <v>1055.5999999999999</v>
      </c>
      <c r="I1228" s="35">
        <f t="shared" si="573"/>
        <v>654.79999999999995</v>
      </c>
      <c r="J1228" s="35">
        <f t="shared" si="573"/>
        <v>654.79999999999995</v>
      </c>
      <c r="K1228" s="35">
        <f t="shared" si="573"/>
        <v>644.93453999999997</v>
      </c>
      <c r="L1228" s="35">
        <f t="shared" si="553"/>
        <v>61.09648920045472</v>
      </c>
      <c r="M1228" s="35">
        <f t="shared" si="554"/>
        <v>98.493362858888219</v>
      </c>
    </row>
    <row r="1229" spans="1:13" ht="25.5">
      <c r="A1229" s="59" t="s">
        <v>66</v>
      </c>
      <c r="B1229" s="28" t="s">
        <v>385</v>
      </c>
      <c r="C1229" s="28" t="s">
        <v>148</v>
      </c>
      <c r="D1229" s="28" t="s">
        <v>19</v>
      </c>
      <c r="E1229" s="28" t="s">
        <v>470</v>
      </c>
      <c r="F1229" s="28" t="s">
        <v>67</v>
      </c>
      <c r="G1229" s="35">
        <v>1055.5999999999999</v>
      </c>
      <c r="H1229" s="35">
        <v>1055.5999999999999</v>
      </c>
      <c r="I1229" s="35">
        <v>654.79999999999995</v>
      </c>
      <c r="J1229" s="35">
        <v>654.79999999999995</v>
      </c>
      <c r="K1229" s="35">
        <v>644.93453999999997</v>
      </c>
      <c r="L1229" s="35">
        <f t="shared" si="553"/>
        <v>61.09648920045472</v>
      </c>
      <c r="M1229" s="35">
        <f t="shared" si="554"/>
        <v>98.493362858888219</v>
      </c>
    </row>
    <row r="1230" spans="1:13">
      <c r="A1230" s="59" t="s">
        <v>68</v>
      </c>
      <c r="B1230" s="28" t="s">
        <v>385</v>
      </c>
      <c r="C1230" s="28" t="s">
        <v>148</v>
      </c>
      <c r="D1230" s="28" t="s">
        <v>19</v>
      </c>
      <c r="E1230" s="28" t="s">
        <v>470</v>
      </c>
      <c r="F1230" s="28" t="s">
        <v>69</v>
      </c>
      <c r="G1230" s="35">
        <f>G1231</f>
        <v>157234.6</v>
      </c>
      <c r="H1230" s="35">
        <f t="shared" ref="H1230:K1230" si="574">H1231</f>
        <v>157234.6</v>
      </c>
      <c r="I1230" s="35">
        <f t="shared" si="574"/>
        <v>103963</v>
      </c>
      <c r="J1230" s="35">
        <f t="shared" si="574"/>
        <v>103963</v>
      </c>
      <c r="K1230" s="35">
        <f t="shared" si="574"/>
        <v>103737.74404000001</v>
      </c>
      <c r="L1230" s="35">
        <f t="shared" si="553"/>
        <v>65.976409797843488</v>
      </c>
      <c r="M1230" s="35">
        <f t="shared" si="554"/>
        <v>99.78333064648001</v>
      </c>
    </row>
    <row r="1231" spans="1:13" ht="25.5">
      <c r="A1231" s="59" t="s">
        <v>463</v>
      </c>
      <c r="B1231" s="28" t="s">
        <v>385</v>
      </c>
      <c r="C1231" s="28" t="s">
        <v>148</v>
      </c>
      <c r="D1231" s="28" t="s">
        <v>19</v>
      </c>
      <c r="E1231" s="28" t="s">
        <v>470</v>
      </c>
      <c r="F1231" s="28" t="s">
        <v>464</v>
      </c>
      <c r="G1231" s="35">
        <v>157234.6</v>
      </c>
      <c r="H1231" s="35">
        <v>157234.6</v>
      </c>
      <c r="I1231" s="35">
        <v>103963</v>
      </c>
      <c r="J1231" s="35">
        <v>103963</v>
      </c>
      <c r="K1231" s="35">
        <v>103737.74404000001</v>
      </c>
      <c r="L1231" s="35">
        <f t="shared" si="553"/>
        <v>65.976409797843488</v>
      </c>
      <c r="M1231" s="35">
        <f t="shared" si="554"/>
        <v>99.78333064648001</v>
      </c>
    </row>
    <row r="1232" spans="1:13" ht="76.5">
      <c r="A1232" s="59" t="s">
        <v>471</v>
      </c>
      <c r="B1232" s="28" t="s">
        <v>385</v>
      </c>
      <c r="C1232" s="28" t="s">
        <v>148</v>
      </c>
      <c r="D1232" s="28" t="s">
        <v>19</v>
      </c>
      <c r="E1232" s="28" t="s">
        <v>472</v>
      </c>
      <c r="F1232" s="58" t="s">
        <v>0</v>
      </c>
      <c r="G1232" s="35">
        <f>G1233</f>
        <v>7861.8</v>
      </c>
      <c r="H1232" s="35">
        <f t="shared" ref="H1232:K1233" si="575">H1233</f>
        <v>7861.8</v>
      </c>
      <c r="I1232" s="35">
        <f t="shared" si="575"/>
        <v>3508.6012300000002</v>
      </c>
      <c r="J1232" s="35">
        <f t="shared" si="575"/>
        <v>3508.6012300000002</v>
      </c>
      <c r="K1232" s="35">
        <f t="shared" si="575"/>
        <v>3495.3468499999999</v>
      </c>
      <c r="L1232" s="35">
        <f t="shared" si="553"/>
        <v>44.459880052914095</v>
      </c>
      <c r="M1232" s="35">
        <f t="shared" si="554"/>
        <v>99.622231791784429</v>
      </c>
    </row>
    <row r="1233" spans="1:13">
      <c r="A1233" s="59" t="s">
        <v>68</v>
      </c>
      <c r="B1233" s="28" t="s">
        <v>385</v>
      </c>
      <c r="C1233" s="28" t="s">
        <v>148</v>
      </c>
      <c r="D1233" s="28" t="s">
        <v>19</v>
      </c>
      <c r="E1233" s="28" t="s">
        <v>472</v>
      </c>
      <c r="F1233" s="28" t="s">
        <v>69</v>
      </c>
      <c r="G1233" s="35">
        <f>G1234</f>
        <v>7861.8</v>
      </c>
      <c r="H1233" s="35">
        <f t="shared" si="575"/>
        <v>7861.8</v>
      </c>
      <c r="I1233" s="35">
        <f t="shared" si="575"/>
        <v>3508.6012300000002</v>
      </c>
      <c r="J1233" s="35">
        <f t="shared" si="575"/>
        <v>3508.6012300000002</v>
      </c>
      <c r="K1233" s="35">
        <f t="shared" si="575"/>
        <v>3495.3468499999999</v>
      </c>
      <c r="L1233" s="35">
        <f t="shared" si="553"/>
        <v>44.459880052914095</v>
      </c>
      <c r="M1233" s="35">
        <f t="shared" si="554"/>
        <v>99.622231791784429</v>
      </c>
    </row>
    <row r="1234" spans="1:13" ht="25.5">
      <c r="A1234" s="59" t="s">
        <v>151</v>
      </c>
      <c r="B1234" s="28" t="s">
        <v>385</v>
      </c>
      <c r="C1234" s="28" t="s">
        <v>148</v>
      </c>
      <c r="D1234" s="28" t="s">
        <v>19</v>
      </c>
      <c r="E1234" s="28" t="s">
        <v>472</v>
      </c>
      <c r="F1234" s="28" t="s">
        <v>152</v>
      </c>
      <c r="G1234" s="35">
        <v>7861.8</v>
      </c>
      <c r="H1234" s="35">
        <v>7861.8</v>
      </c>
      <c r="I1234" s="35">
        <v>3508.6012300000002</v>
      </c>
      <c r="J1234" s="35">
        <v>3508.6012300000002</v>
      </c>
      <c r="K1234" s="35">
        <v>3495.3468499999999</v>
      </c>
      <c r="L1234" s="35">
        <f t="shared" si="553"/>
        <v>44.459880052914095</v>
      </c>
      <c r="M1234" s="35">
        <f t="shared" si="554"/>
        <v>99.622231791784429</v>
      </c>
    </row>
    <row r="1235" spans="1:13" ht="76.5">
      <c r="A1235" s="59" t="s">
        <v>473</v>
      </c>
      <c r="B1235" s="28" t="s">
        <v>385</v>
      </c>
      <c r="C1235" s="28" t="s">
        <v>148</v>
      </c>
      <c r="D1235" s="28" t="s">
        <v>19</v>
      </c>
      <c r="E1235" s="28" t="s">
        <v>474</v>
      </c>
      <c r="F1235" s="58" t="s">
        <v>0</v>
      </c>
      <c r="G1235" s="35">
        <f>G1236</f>
        <v>20604.2</v>
      </c>
      <c r="H1235" s="35">
        <f t="shared" ref="H1235:K1236" si="576">H1236</f>
        <v>20604.2</v>
      </c>
      <c r="I1235" s="35">
        <f t="shared" si="576"/>
        <v>17910.475999999999</v>
      </c>
      <c r="J1235" s="35">
        <f t="shared" si="576"/>
        <v>17910.475999999999</v>
      </c>
      <c r="K1235" s="35">
        <f t="shared" si="576"/>
        <v>17902.376</v>
      </c>
      <c r="L1235" s="35">
        <f t="shared" si="553"/>
        <v>86.887023034138664</v>
      </c>
      <c r="M1235" s="35">
        <f t="shared" si="554"/>
        <v>99.954775071304653</v>
      </c>
    </row>
    <row r="1236" spans="1:13">
      <c r="A1236" s="59" t="s">
        <v>26</v>
      </c>
      <c r="B1236" s="28" t="s">
        <v>385</v>
      </c>
      <c r="C1236" s="28" t="s">
        <v>148</v>
      </c>
      <c r="D1236" s="28" t="s">
        <v>19</v>
      </c>
      <c r="E1236" s="28" t="s">
        <v>474</v>
      </c>
      <c r="F1236" s="28" t="s">
        <v>27</v>
      </c>
      <c r="G1236" s="35">
        <f>G1237</f>
        <v>20604.2</v>
      </c>
      <c r="H1236" s="35">
        <f t="shared" si="576"/>
        <v>20604.2</v>
      </c>
      <c r="I1236" s="35">
        <f t="shared" si="576"/>
        <v>17910.475999999999</v>
      </c>
      <c r="J1236" s="35">
        <f t="shared" si="576"/>
        <v>17910.475999999999</v>
      </c>
      <c r="K1236" s="35">
        <f t="shared" si="576"/>
        <v>17902.376</v>
      </c>
      <c r="L1236" s="35">
        <f t="shared" si="553"/>
        <v>86.887023034138664</v>
      </c>
      <c r="M1236" s="35">
        <f t="shared" si="554"/>
        <v>99.954775071304653</v>
      </c>
    </row>
    <row r="1237" spans="1:13">
      <c r="A1237" s="59" t="s">
        <v>28</v>
      </c>
      <c r="B1237" s="28" t="s">
        <v>385</v>
      </c>
      <c r="C1237" s="28" t="s">
        <v>148</v>
      </c>
      <c r="D1237" s="28" t="s">
        <v>19</v>
      </c>
      <c r="E1237" s="28" t="s">
        <v>474</v>
      </c>
      <c r="F1237" s="28" t="s">
        <v>29</v>
      </c>
      <c r="G1237" s="35">
        <v>20604.2</v>
      </c>
      <c r="H1237" s="35">
        <v>20604.2</v>
      </c>
      <c r="I1237" s="35">
        <v>17910.475999999999</v>
      </c>
      <c r="J1237" s="35">
        <v>17910.475999999999</v>
      </c>
      <c r="K1237" s="35">
        <v>17902.376</v>
      </c>
      <c r="L1237" s="35">
        <f t="shared" si="553"/>
        <v>86.887023034138664</v>
      </c>
      <c r="M1237" s="35">
        <f t="shared" si="554"/>
        <v>99.954775071304653</v>
      </c>
    </row>
    <row r="1238" spans="1:13" ht="51">
      <c r="A1238" s="59" t="s">
        <v>475</v>
      </c>
      <c r="B1238" s="28" t="s">
        <v>385</v>
      </c>
      <c r="C1238" s="28" t="s">
        <v>148</v>
      </c>
      <c r="D1238" s="28" t="s">
        <v>19</v>
      </c>
      <c r="E1238" s="28" t="s">
        <v>476</v>
      </c>
      <c r="F1238" s="58" t="s">
        <v>0</v>
      </c>
      <c r="G1238" s="35">
        <f>G1239</f>
        <v>74693.7</v>
      </c>
      <c r="H1238" s="35">
        <f t="shared" ref="H1238:K1239" si="577">H1239</f>
        <v>74693.654639999993</v>
      </c>
      <c r="I1238" s="35">
        <f t="shared" si="577"/>
        <v>64627.647100000002</v>
      </c>
      <c r="J1238" s="35">
        <f t="shared" si="577"/>
        <v>64627.647100000002</v>
      </c>
      <c r="K1238" s="35">
        <f t="shared" si="577"/>
        <v>56333.914250000002</v>
      </c>
      <c r="L1238" s="35">
        <f t="shared" si="553"/>
        <v>75.419946341508947</v>
      </c>
      <c r="M1238" s="35">
        <f t="shared" si="554"/>
        <v>87.166896487556016</v>
      </c>
    </row>
    <row r="1239" spans="1:13">
      <c r="A1239" s="59" t="s">
        <v>26</v>
      </c>
      <c r="B1239" s="28" t="s">
        <v>385</v>
      </c>
      <c r="C1239" s="28" t="s">
        <v>148</v>
      </c>
      <c r="D1239" s="28" t="s">
        <v>19</v>
      </c>
      <c r="E1239" s="28" t="s">
        <v>476</v>
      </c>
      <c r="F1239" s="28" t="s">
        <v>27</v>
      </c>
      <c r="G1239" s="35">
        <f>G1240</f>
        <v>74693.7</v>
      </c>
      <c r="H1239" s="35">
        <f t="shared" si="577"/>
        <v>74693.654639999993</v>
      </c>
      <c r="I1239" s="35">
        <f t="shared" si="577"/>
        <v>64627.647100000002</v>
      </c>
      <c r="J1239" s="35">
        <f t="shared" si="577"/>
        <v>64627.647100000002</v>
      </c>
      <c r="K1239" s="35">
        <f t="shared" si="577"/>
        <v>56333.914250000002</v>
      </c>
      <c r="L1239" s="35">
        <f t="shared" si="553"/>
        <v>75.419946341508947</v>
      </c>
      <c r="M1239" s="35">
        <f t="shared" si="554"/>
        <v>87.166896487556016</v>
      </c>
    </row>
    <row r="1240" spans="1:13">
      <c r="A1240" s="59" t="s">
        <v>28</v>
      </c>
      <c r="B1240" s="28" t="s">
        <v>385</v>
      </c>
      <c r="C1240" s="28" t="s">
        <v>148</v>
      </c>
      <c r="D1240" s="28" t="s">
        <v>19</v>
      </c>
      <c r="E1240" s="28" t="s">
        <v>476</v>
      </c>
      <c r="F1240" s="28" t="s">
        <v>29</v>
      </c>
      <c r="G1240" s="35">
        <v>74693.7</v>
      </c>
      <c r="H1240" s="35">
        <v>74693.654639999993</v>
      </c>
      <c r="I1240" s="35">
        <v>64627.647100000002</v>
      </c>
      <c r="J1240" s="35">
        <v>64627.647100000002</v>
      </c>
      <c r="K1240" s="35">
        <v>56333.914250000002</v>
      </c>
      <c r="L1240" s="35">
        <f t="shared" si="553"/>
        <v>75.419946341508947</v>
      </c>
      <c r="M1240" s="35">
        <f t="shared" si="554"/>
        <v>87.166896487556016</v>
      </c>
    </row>
    <row r="1241" spans="1:13">
      <c r="A1241" s="59" t="s">
        <v>477</v>
      </c>
      <c r="B1241" s="28" t="s">
        <v>385</v>
      </c>
      <c r="C1241" s="28" t="s">
        <v>148</v>
      </c>
      <c r="D1241" s="28" t="s">
        <v>32</v>
      </c>
      <c r="E1241" s="58" t="s">
        <v>0</v>
      </c>
      <c r="F1241" s="58" t="s">
        <v>0</v>
      </c>
      <c r="G1241" s="35">
        <f>G1242</f>
        <v>109823.8</v>
      </c>
      <c r="H1241" s="35">
        <f t="shared" ref="H1241:K1245" si="578">H1242</f>
        <v>109823.8</v>
      </c>
      <c r="I1241" s="35">
        <f t="shared" si="578"/>
        <v>83066.87</v>
      </c>
      <c r="J1241" s="35">
        <f t="shared" si="578"/>
        <v>83066.87</v>
      </c>
      <c r="K1241" s="35">
        <f t="shared" si="578"/>
        <v>75598.100550000003</v>
      </c>
      <c r="L1241" s="35">
        <f t="shared" si="553"/>
        <v>68.835808404007153</v>
      </c>
      <c r="M1241" s="35">
        <f t="shared" si="554"/>
        <v>91.008726523582752</v>
      </c>
    </row>
    <row r="1242" spans="1:13" ht="38.25">
      <c r="A1242" s="59" t="s">
        <v>112</v>
      </c>
      <c r="B1242" s="28" t="s">
        <v>385</v>
      </c>
      <c r="C1242" s="28" t="s">
        <v>148</v>
      </c>
      <c r="D1242" s="28" t="s">
        <v>32</v>
      </c>
      <c r="E1242" s="28" t="s">
        <v>113</v>
      </c>
      <c r="F1242" s="58" t="s">
        <v>0</v>
      </c>
      <c r="G1242" s="35">
        <f>G1243</f>
        <v>109823.8</v>
      </c>
      <c r="H1242" s="35">
        <f t="shared" si="578"/>
        <v>109823.8</v>
      </c>
      <c r="I1242" s="35">
        <f t="shared" si="578"/>
        <v>83066.87</v>
      </c>
      <c r="J1242" s="35">
        <f t="shared" si="578"/>
        <v>83066.87</v>
      </c>
      <c r="K1242" s="35">
        <f t="shared" si="578"/>
        <v>75598.100550000003</v>
      </c>
      <c r="L1242" s="35">
        <f t="shared" si="553"/>
        <v>68.835808404007153</v>
      </c>
      <c r="M1242" s="35">
        <f t="shared" si="554"/>
        <v>91.008726523582752</v>
      </c>
    </row>
    <row r="1243" spans="1:13" ht="76.5">
      <c r="A1243" s="59" t="s">
        <v>400</v>
      </c>
      <c r="B1243" s="28" t="s">
        <v>385</v>
      </c>
      <c r="C1243" s="28" t="s">
        <v>148</v>
      </c>
      <c r="D1243" s="28" t="s">
        <v>32</v>
      </c>
      <c r="E1243" s="28" t="s">
        <v>401</v>
      </c>
      <c r="F1243" s="58" t="s">
        <v>0</v>
      </c>
      <c r="G1243" s="35">
        <f>G1244</f>
        <v>109823.8</v>
      </c>
      <c r="H1243" s="35">
        <f t="shared" si="578"/>
        <v>109823.8</v>
      </c>
      <c r="I1243" s="35">
        <f t="shared" si="578"/>
        <v>83066.87</v>
      </c>
      <c r="J1243" s="35">
        <f t="shared" si="578"/>
        <v>83066.87</v>
      </c>
      <c r="K1243" s="35">
        <f t="shared" si="578"/>
        <v>75598.100550000003</v>
      </c>
      <c r="L1243" s="35">
        <f t="shared" si="553"/>
        <v>68.835808404007153</v>
      </c>
      <c r="M1243" s="35">
        <f t="shared" si="554"/>
        <v>91.008726523582752</v>
      </c>
    </row>
    <row r="1244" spans="1:13" ht="38.25">
      <c r="A1244" s="59" t="s">
        <v>478</v>
      </c>
      <c r="B1244" s="28" t="s">
        <v>385</v>
      </c>
      <c r="C1244" s="28" t="s">
        <v>148</v>
      </c>
      <c r="D1244" s="28" t="s">
        <v>32</v>
      </c>
      <c r="E1244" s="28" t="s">
        <v>479</v>
      </c>
      <c r="F1244" s="58" t="s">
        <v>0</v>
      </c>
      <c r="G1244" s="35">
        <f>G1245</f>
        <v>109823.8</v>
      </c>
      <c r="H1244" s="35">
        <f t="shared" si="578"/>
        <v>109823.8</v>
      </c>
      <c r="I1244" s="35">
        <f t="shared" si="578"/>
        <v>83066.87</v>
      </c>
      <c r="J1244" s="35">
        <f t="shared" si="578"/>
        <v>83066.87</v>
      </c>
      <c r="K1244" s="35">
        <f t="shared" si="578"/>
        <v>75598.100550000003</v>
      </c>
      <c r="L1244" s="35">
        <f t="shared" si="553"/>
        <v>68.835808404007153</v>
      </c>
      <c r="M1244" s="35">
        <f t="shared" si="554"/>
        <v>91.008726523582752</v>
      </c>
    </row>
    <row r="1245" spans="1:13">
      <c r="A1245" s="59" t="s">
        <v>26</v>
      </c>
      <c r="B1245" s="28" t="s">
        <v>385</v>
      </c>
      <c r="C1245" s="28" t="s">
        <v>148</v>
      </c>
      <c r="D1245" s="28" t="s">
        <v>32</v>
      </c>
      <c r="E1245" s="28" t="s">
        <v>479</v>
      </c>
      <c r="F1245" s="28" t="s">
        <v>27</v>
      </c>
      <c r="G1245" s="35">
        <f>G1246</f>
        <v>109823.8</v>
      </c>
      <c r="H1245" s="35">
        <f t="shared" si="578"/>
        <v>109823.8</v>
      </c>
      <c r="I1245" s="35">
        <f t="shared" si="578"/>
        <v>83066.87</v>
      </c>
      <c r="J1245" s="35">
        <f t="shared" si="578"/>
        <v>83066.87</v>
      </c>
      <c r="K1245" s="35">
        <f t="shared" si="578"/>
        <v>75598.100550000003</v>
      </c>
      <c r="L1245" s="35">
        <f t="shared" si="553"/>
        <v>68.835808404007153</v>
      </c>
      <c r="M1245" s="35">
        <f t="shared" si="554"/>
        <v>91.008726523582752</v>
      </c>
    </row>
    <row r="1246" spans="1:13">
      <c r="A1246" s="59" t="s">
        <v>28</v>
      </c>
      <c r="B1246" s="28" t="s">
        <v>385</v>
      </c>
      <c r="C1246" s="28" t="s">
        <v>148</v>
      </c>
      <c r="D1246" s="28" t="s">
        <v>32</v>
      </c>
      <c r="E1246" s="28" t="s">
        <v>479</v>
      </c>
      <c r="F1246" s="28" t="s">
        <v>29</v>
      </c>
      <c r="G1246" s="35">
        <v>109823.8</v>
      </c>
      <c r="H1246" s="35">
        <v>109823.8</v>
      </c>
      <c r="I1246" s="35">
        <v>83066.87</v>
      </c>
      <c r="J1246" s="35">
        <v>83066.87</v>
      </c>
      <c r="K1246" s="35">
        <v>75598.100550000003</v>
      </c>
      <c r="L1246" s="35">
        <f t="shared" si="553"/>
        <v>68.835808404007153</v>
      </c>
      <c r="M1246" s="35">
        <f t="shared" si="554"/>
        <v>91.008726523582752</v>
      </c>
    </row>
    <row r="1247" spans="1:13">
      <c r="A1247" s="64" t="s">
        <v>0</v>
      </c>
      <c r="B1247" s="65" t="s">
        <v>0</v>
      </c>
      <c r="C1247" s="58" t="s">
        <v>0</v>
      </c>
      <c r="D1247" s="58" t="s">
        <v>0</v>
      </c>
      <c r="E1247" s="58" t="s">
        <v>0</v>
      </c>
      <c r="F1247" s="58" t="s">
        <v>0</v>
      </c>
      <c r="G1247" s="66" t="s">
        <v>0</v>
      </c>
      <c r="H1247" s="66" t="s">
        <v>0</v>
      </c>
      <c r="I1247" s="66" t="s">
        <v>0</v>
      </c>
      <c r="J1247" s="66" t="s">
        <v>0</v>
      </c>
      <c r="K1247" s="66" t="s">
        <v>0</v>
      </c>
      <c r="L1247" s="35"/>
      <c r="M1247" s="35"/>
    </row>
    <row r="1248" spans="1:13" ht="38.25">
      <c r="A1248" s="56" t="s">
        <v>480</v>
      </c>
      <c r="B1248" s="57" t="s">
        <v>481</v>
      </c>
      <c r="C1248" s="58" t="s">
        <v>0</v>
      </c>
      <c r="D1248" s="58" t="s">
        <v>0</v>
      </c>
      <c r="E1248" s="58" t="s">
        <v>0</v>
      </c>
      <c r="F1248" s="58" t="s">
        <v>0</v>
      </c>
      <c r="G1248" s="30">
        <f>G1249+G1262+G1477</f>
        <v>760050</v>
      </c>
      <c r="H1248" s="30">
        <f>H1249+H1262+H1477</f>
        <v>1016548.7999999999</v>
      </c>
      <c r="I1248" s="30">
        <f>I1249+I1262+I1477</f>
        <v>841656.76557000005</v>
      </c>
      <c r="J1248" s="30">
        <f>J1249+J1262+J1477</f>
        <v>840012.21772900014</v>
      </c>
      <c r="K1248" s="30">
        <f>K1249+K1262+K1477</f>
        <v>832909.30845999997</v>
      </c>
      <c r="L1248" s="30">
        <f t="shared" si="553"/>
        <v>81.935004837937925</v>
      </c>
      <c r="M1248" s="30">
        <f t="shared" si="554"/>
        <v>98.960685938991304</v>
      </c>
    </row>
    <row r="1249" spans="1:13">
      <c r="A1249" s="59" t="s">
        <v>16</v>
      </c>
      <c r="B1249" s="28" t="s">
        <v>481</v>
      </c>
      <c r="C1249" s="28" t="s">
        <v>17</v>
      </c>
      <c r="D1249" s="58" t="s">
        <v>0</v>
      </c>
      <c r="E1249" s="58" t="s">
        <v>0</v>
      </c>
      <c r="F1249" s="58" t="s">
        <v>0</v>
      </c>
      <c r="G1249" s="35">
        <f>G1250+G1255</f>
        <v>18041</v>
      </c>
      <c r="H1249" s="35">
        <f t="shared" ref="H1249:K1249" si="579">H1250+H1255</f>
        <v>18041</v>
      </c>
      <c r="I1249" s="35">
        <f t="shared" si="579"/>
        <v>16657.650000000001</v>
      </c>
      <c r="J1249" s="35">
        <f t="shared" si="579"/>
        <v>15855.565989999999</v>
      </c>
      <c r="K1249" s="35">
        <f t="shared" si="579"/>
        <v>15825.425450000001</v>
      </c>
      <c r="L1249" s="35">
        <f t="shared" si="553"/>
        <v>87.719225375533512</v>
      </c>
      <c r="M1249" s="35">
        <f t="shared" si="554"/>
        <v>95.003949836861736</v>
      </c>
    </row>
    <row r="1250" spans="1:13" ht="51">
      <c r="A1250" s="59" t="s">
        <v>18</v>
      </c>
      <c r="B1250" s="28" t="s">
        <v>481</v>
      </c>
      <c r="C1250" s="28" t="s">
        <v>17</v>
      </c>
      <c r="D1250" s="28" t="s">
        <v>19</v>
      </c>
      <c r="E1250" s="58" t="s">
        <v>0</v>
      </c>
      <c r="F1250" s="58" t="s">
        <v>0</v>
      </c>
      <c r="G1250" s="35">
        <f>G1251</f>
        <v>925</v>
      </c>
      <c r="H1250" s="35">
        <f t="shared" ref="H1250:K1253" si="580">H1251</f>
        <v>925</v>
      </c>
      <c r="I1250" s="35">
        <f t="shared" si="580"/>
        <v>693.75</v>
      </c>
      <c r="J1250" s="35">
        <f t="shared" si="580"/>
        <v>693.75</v>
      </c>
      <c r="K1250" s="35">
        <f t="shared" si="580"/>
        <v>693.75</v>
      </c>
      <c r="L1250" s="35">
        <f t="shared" si="553"/>
        <v>75</v>
      </c>
      <c r="M1250" s="35">
        <f t="shared" si="554"/>
        <v>100</v>
      </c>
    </row>
    <row r="1251" spans="1:13" ht="38.25">
      <c r="A1251" s="59" t="s">
        <v>482</v>
      </c>
      <c r="B1251" s="28" t="s">
        <v>481</v>
      </c>
      <c r="C1251" s="28" t="s">
        <v>17</v>
      </c>
      <c r="D1251" s="28" t="s">
        <v>19</v>
      </c>
      <c r="E1251" s="28" t="s">
        <v>483</v>
      </c>
      <c r="F1251" s="58" t="s">
        <v>0</v>
      </c>
      <c r="G1251" s="35">
        <f>G1252</f>
        <v>925</v>
      </c>
      <c r="H1251" s="35">
        <f t="shared" si="580"/>
        <v>925</v>
      </c>
      <c r="I1251" s="35">
        <f t="shared" si="580"/>
        <v>693.75</v>
      </c>
      <c r="J1251" s="35">
        <f t="shared" si="580"/>
        <v>693.75</v>
      </c>
      <c r="K1251" s="35">
        <f t="shared" si="580"/>
        <v>693.75</v>
      </c>
      <c r="L1251" s="35">
        <f t="shared" ref="L1251:L1314" si="581">K1251/H1251*100</f>
        <v>75</v>
      </c>
      <c r="M1251" s="35">
        <f t="shared" ref="M1251:M1314" si="582">K1251/I1251*100</f>
        <v>100</v>
      </c>
    </row>
    <row r="1252" spans="1:13" ht="25.5">
      <c r="A1252" s="59" t="s">
        <v>484</v>
      </c>
      <c r="B1252" s="28" t="s">
        <v>481</v>
      </c>
      <c r="C1252" s="28" t="s">
        <v>17</v>
      </c>
      <c r="D1252" s="28" t="s">
        <v>19</v>
      </c>
      <c r="E1252" s="28" t="s">
        <v>485</v>
      </c>
      <c r="F1252" s="58" t="s">
        <v>0</v>
      </c>
      <c r="G1252" s="35">
        <f>G1253</f>
        <v>925</v>
      </c>
      <c r="H1252" s="35">
        <f t="shared" si="580"/>
        <v>925</v>
      </c>
      <c r="I1252" s="35">
        <f t="shared" si="580"/>
        <v>693.75</v>
      </c>
      <c r="J1252" s="35">
        <f t="shared" si="580"/>
        <v>693.75</v>
      </c>
      <c r="K1252" s="35">
        <f t="shared" si="580"/>
        <v>693.75</v>
      </c>
      <c r="L1252" s="35">
        <f t="shared" si="581"/>
        <v>75</v>
      </c>
      <c r="M1252" s="35">
        <f t="shared" si="582"/>
        <v>100</v>
      </c>
    </row>
    <row r="1253" spans="1:13">
      <c r="A1253" s="59" t="s">
        <v>26</v>
      </c>
      <c r="B1253" s="28" t="s">
        <v>481</v>
      </c>
      <c r="C1253" s="28" t="s">
        <v>17</v>
      </c>
      <c r="D1253" s="28" t="s">
        <v>19</v>
      </c>
      <c r="E1253" s="28" t="s">
        <v>485</v>
      </c>
      <c r="F1253" s="28" t="s">
        <v>27</v>
      </c>
      <c r="G1253" s="35">
        <f>G1254</f>
        <v>925</v>
      </c>
      <c r="H1253" s="35">
        <f t="shared" si="580"/>
        <v>925</v>
      </c>
      <c r="I1253" s="35">
        <f t="shared" si="580"/>
        <v>693.75</v>
      </c>
      <c r="J1253" s="35">
        <f t="shared" si="580"/>
        <v>693.75</v>
      </c>
      <c r="K1253" s="35">
        <f t="shared" si="580"/>
        <v>693.75</v>
      </c>
      <c r="L1253" s="35">
        <f t="shared" si="581"/>
        <v>75</v>
      </c>
      <c r="M1253" s="35">
        <f t="shared" si="582"/>
        <v>100</v>
      </c>
    </row>
    <row r="1254" spans="1:13">
      <c r="A1254" s="59" t="s">
        <v>28</v>
      </c>
      <c r="B1254" s="28" t="s">
        <v>481</v>
      </c>
      <c r="C1254" s="28" t="s">
        <v>17</v>
      </c>
      <c r="D1254" s="28" t="s">
        <v>19</v>
      </c>
      <c r="E1254" s="28" t="s">
        <v>485</v>
      </c>
      <c r="F1254" s="28" t="s">
        <v>29</v>
      </c>
      <c r="G1254" s="35">
        <v>925</v>
      </c>
      <c r="H1254" s="35">
        <v>925</v>
      </c>
      <c r="I1254" s="35">
        <v>693.75</v>
      </c>
      <c r="J1254" s="35">
        <v>693.75</v>
      </c>
      <c r="K1254" s="35">
        <v>693.75</v>
      </c>
      <c r="L1254" s="35">
        <f t="shared" si="581"/>
        <v>75</v>
      </c>
      <c r="M1254" s="35">
        <f t="shared" si="582"/>
        <v>100</v>
      </c>
    </row>
    <row r="1255" spans="1:13">
      <c r="A1255" s="59" t="s">
        <v>386</v>
      </c>
      <c r="B1255" s="28" t="s">
        <v>481</v>
      </c>
      <c r="C1255" s="28" t="s">
        <v>17</v>
      </c>
      <c r="D1255" s="28" t="s">
        <v>387</v>
      </c>
      <c r="E1255" s="58" t="s">
        <v>0</v>
      </c>
      <c r="F1255" s="58" t="s">
        <v>0</v>
      </c>
      <c r="G1255" s="35">
        <f>G1256</f>
        <v>17116</v>
      </c>
      <c r="H1255" s="35">
        <f t="shared" ref="H1255:K1259" si="583">H1256</f>
        <v>17116</v>
      </c>
      <c r="I1255" s="35">
        <f t="shared" si="583"/>
        <v>15963.9</v>
      </c>
      <c r="J1255" s="35">
        <f t="shared" si="583"/>
        <v>15161.815989999999</v>
      </c>
      <c r="K1255" s="35">
        <f t="shared" si="583"/>
        <v>15131.675450000001</v>
      </c>
      <c r="L1255" s="35">
        <f t="shared" si="581"/>
        <v>88.406610481420898</v>
      </c>
      <c r="M1255" s="35">
        <f t="shared" si="582"/>
        <v>94.786834357519155</v>
      </c>
    </row>
    <row r="1256" spans="1:13" ht="63.75">
      <c r="A1256" s="59" t="s">
        <v>186</v>
      </c>
      <c r="B1256" s="28" t="s">
        <v>481</v>
      </c>
      <c r="C1256" s="28" t="s">
        <v>17</v>
      </c>
      <c r="D1256" s="28" t="s">
        <v>387</v>
      </c>
      <c r="E1256" s="28" t="s">
        <v>187</v>
      </c>
      <c r="F1256" s="58" t="s">
        <v>0</v>
      </c>
      <c r="G1256" s="35">
        <f>G1257</f>
        <v>17116</v>
      </c>
      <c r="H1256" s="35">
        <f t="shared" si="583"/>
        <v>17116</v>
      </c>
      <c r="I1256" s="35">
        <f t="shared" si="583"/>
        <v>15963.9</v>
      </c>
      <c r="J1256" s="35">
        <f t="shared" si="583"/>
        <v>15161.815989999999</v>
      </c>
      <c r="K1256" s="35">
        <f t="shared" si="583"/>
        <v>15131.675450000001</v>
      </c>
      <c r="L1256" s="35">
        <f t="shared" si="581"/>
        <v>88.406610481420898</v>
      </c>
      <c r="M1256" s="35">
        <f t="shared" si="582"/>
        <v>94.786834357519155</v>
      </c>
    </row>
    <row r="1257" spans="1:13" ht="25.5">
      <c r="A1257" s="59" t="s">
        <v>22</v>
      </c>
      <c r="B1257" s="28" t="s">
        <v>481</v>
      </c>
      <c r="C1257" s="28" t="s">
        <v>17</v>
      </c>
      <c r="D1257" s="28" t="s">
        <v>387</v>
      </c>
      <c r="E1257" s="28" t="s">
        <v>486</v>
      </c>
      <c r="F1257" s="58" t="s">
        <v>0</v>
      </c>
      <c r="G1257" s="35">
        <f>G1258</f>
        <v>17116</v>
      </c>
      <c r="H1257" s="35">
        <f t="shared" si="583"/>
        <v>17116</v>
      </c>
      <c r="I1257" s="35">
        <f t="shared" si="583"/>
        <v>15963.9</v>
      </c>
      <c r="J1257" s="35">
        <f t="shared" si="583"/>
        <v>15161.815989999999</v>
      </c>
      <c r="K1257" s="35">
        <f t="shared" si="583"/>
        <v>15131.675450000001</v>
      </c>
      <c r="L1257" s="35">
        <f t="shared" si="581"/>
        <v>88.406610481420898</v>
      </c>
      <c r="M1257" s="35">
        <f t="shared" si="582"/>
        <v>94.786834357519155</v>
      </c>
    </row>
    <row r="1258" spans="1:13" ht="25.5">
      <c r="A1258" s="59" t="s">
        <v>487</v>
      </c>
      <c r="B1258" s="28" t="s">
        <v>481</v>
      </c>
      <c r="C1258" s="28" t="s">
        <v>17</v>
      </c>
      <c r="D1258" s="28" t="s">
        <v>387</v>
      </c>
      <c r="E1258" s="28" t="s">
        <v>488</v>
      </c>
      <c r="F1258" s="58" t="s">
        <v>0</v>
      </c>
      <c r="G1258" s="35">
        <f>G1259</f>
        <v>17116</v>
      </c>
      <c r="H1258" s="35">
        <f t="shared" si="583"/>
        <v>17116</v>
      </c>
      <c r="I1258" s="35">
        <f t="shared" si="583"/>
        <v>15963.9</v>
      </c>
      <c r="J1258" s="35">
        <f t="shared" si="583"/>
        <v>15161.815989999999</v>
      </c>
      <c r="K1258" s="35">
        <f t="shared" si="583"/>
        <v>15131.675450000001</v>
      </c>
      <c r="L1258" s="35">
        <f t="shared" si="581"/>
        <v>88.406610481420898</v>
      </c>
      <c r="M1258" s="35">
        <f t="shared" si="582"/>
        <v>94.786834357519155</v>
      </c>
    </row>
    <row r="1259" spans="1:13">
      <c r="A1259" s="59" t="s">
        <v>26</v>
      </c>
      <c r="B1259" s="28" t="s">
        <v>481</v>
      </c>
      <c r="C1259" s="28" t="s">
        <v>17</v>
      </c>
      <c r="D1259" s="28" t="s">
        <v>387</v>
      </c>
      <c r="E1259" s="28" t="s">
        <v>488</v>
      </c>
      <c r="F1259" s="28" t="s">
        <v>27</v>
      </c>
      <c r="G1259" s="35">
        <f>G1260</f>
        <v>17116</v>
      </c>
      <c r="H1259" s="35">
        <f t="shared" si="583"/>
        <v>17116</v>
      </c>
      <c r="I1259" s="35">
        <f t="shared" si="583"/>
        <v>15963.9</v>
      </c>
      <c r="J1259" s="35">
        <f t="shared" si="583"/>
        <v>15161.815989999999</v>
      </c>
      <c r="K1259" s="35">
        <f t="shared" si="583"/>
        <v>15131.675450000001</v>
      </c>
      <c r="L1259" s="35">
        <f t="shared" si="581"/>
        <v>88.406610481420898</v>
      </c>
      <c r="M1259" s="35">
        <f t="shared" si="582"/>
        <v>94.786834357519155</v>
      </c>
    </row>
    <row r="1260" spans="1:13">
      <c r="A1260" s="59" t="s">
        <v>28</v>
      </c>
      <c r="B1260" s="28" t="s">
        <v>481</v>
      </c>
      <c r="C1260" s="28" t="s">
        <v>17</v>
      </c>
      <c r="D1260" s="28" t="s">
        <v>387</v>
      </c>
      <c r="E1260" s="28" t="s">
        <v>488</v>
      </c>
      <c r="F1260" s="28" t="s">
        <v>29</v>
      </c>
      <c r="G1260" s="35">
        <v>17116</v>
      </c>
      <c r="H1260" s="35">
        <v>17116</v>
      </c>
      <c r="I1260" s="35">
        <v>15963.9</v>
      </c>
      <c r="J1260" s="35">
        <v>15161.815989999999</v>
      </c>
      <c r="K1260" s="35">
        <v>15131.675450000001</v>
      </c>
      <c r="L1260" s="35">
        <f t="shared" si="581"/>
        <v>88.406610481420898</v>
      </c>
      <c r="M1260" s="35">
        <f t="shared" si="582"/>
        <v>94.786834357519155</v>
      </c>
    </row>
    <row r="1261" spans="1:13">
      <c r="A1261" s="60" t="s">
        <v>0</v>
      </c>
      <c r="B1261" s="58" t="s">
        <v>0</v>
      </c>
      <c r="C1261" s="58" t="s">
        <v>0</v>
      </c>
      <c r="D1261" s="58" t="s">
        <v>0</v>
      </c>
      <c r="E1261" s="58" t="s">
        <v>0</v>
      </c>
      <c r="F1261" s="58" t="s">
        <v>0</v>
      </c>
      <c r="G1261" s="61" t="s">
        <v>0</v>
      </c>
      <c r="H1261" s="61" t="s">
        <v>0</v>
      </c>
      <c r="I1261" s="61" t="s">
        <v>0</v>
      </c>
      <c r="J1261" s="61" t="s">
        <v>0</v>
      </c>
      <c r="K1261" s="61" t="s">
        <v>0</v>
      </c>
      <c r="L1261" s="35"/>
      <c r="M1261" s="35"/>
    </row>
    <row r="1262" spans="1:13">
      <c r="A1262" s="59" t="s">
        <v>30</v>
      </c>
      <c r="B1262" s="28" t="s">
        <v>481</v>
      </c>
      <c r="C1262" s="28" t="s">
        <v>19</v>
      </c>
      <c r="D1262" s="58" t="s">
        <v>0</v>
      </c>
      <c r="E1262" s="58" t="s">
        <v>0</v>
      </c>
      <c r="F1262" s="58" t="s">
        <v>0</v>
      </c>
      <c r="G1262" s="35">
        <f>G1263+G1471</f>
        <v>700009</v>
      </c>
      <c r="H1262" s="35">
        <f>H1263+H1471</f>
        <v>923479.39999999991</v>
      </c>
      <c r="I1262" s="35">
        <f>I1263+I1471</f>
        <v>770245.26957</v>
      </c>
      <c r="J1262" s="35">
        <f>J1263+J1471</f>
        <v>769402.80573900009</v>
      </c>
      <c r="K1262" s="35">
        <f>K1263+K1471</f>
        <v>765106.67200999998</v>
      </c>
      <c r="L1262" s="35">
        <f t="shared" si="581"/>
        <v>82.850431965239295</v>
      </c>
      <c r="M1262" s="35">
        <f t="shared" si="582"/>
        <v>99.33286217221837</v>
      </c>
    </row>
    <row r="1263" spans="1:13">
      <c r="A1263" s="59" t="s">
        <v>489</v>
      </c>
      <c r="B1263" s="28" t="s">
        <v>481</v>
      </c>
      <c r="C1263" s="28" t="s">
        <v>19</v>
      </c>
      <c r="D1263" s="28" t="s">
        <v>93</v>
      </c>
      <c r="E1263" s="58" t="s">
        <v>0</v>
      </c>
      <c r="F1263" s="58" t="s">
        <v>0</v>
      </c>
      <c r="G1263" s="35">
        <f>G1264</f>
        <v>697815</v>
      </c>
      <c r="H1263" s="35">
        <f t="shared" ref="H1263:J1263" si="584">H1264</f>
        <v>921285.39999999991</v>
      </c>
      <c r="I1263" s="35">
        <f t="shared" si="584"/>
        <v>769037.29249000002</v>
      </c>
      <c r="J1263" s="35">
        <f t="shared" si="584"/>
        <v>768194.82865900011</v>
      </c>
      <c r="K1263" s="35">
        <f t="shared" ref="K1263" si="585">K1264</f>
        <v>763898.69493</v>
      </c>
      <c r="L1263" s="35">
        <f t="shared" si="581"/>
        <v>82.916617904723125</v>
      </c>
      <c r="M1263" s="35">
        <f t="shared" si="582"/>
        <v>99.331814255279852</v>
      </c>
    </row>
    <row r="1264" spans="1:13" ht="63.75">
      <c r="A1264" s="59" t="s">
        <v>186</v>
      </c>
      <c r="B1264" s="28" t="s">
        <v>481</v>
      </c>
      <c r="C1264" s="28" t="s">
        <v>19</v>
      </c>
      <c r="D1264" s="28" t="s">
        <v>93</v>
      </c>
      <c r="E1264" s="28" t="s">
        <v>187</v>
      </c>
      <c r="F1264" s="58" t="s">
        <v>0</v>
      </c>
      <c r="G1264" s="35">
        <f>G1265+G1436+G1449+G1464</f>
        <v>697815</v>
      </c>
      <c r="H1264" s="35">
        <f t="shared" ref="H1264:J1264" si="586">H1265+H1436+H1449+H1464</f>
        <v>921285.39999999991</v>
      </c>
      <c r="I1264" s="35">
        <f t="shared" si="586"/>
        <v>769037.29249000002</v>
      </c>
      <c r="J1264" s="35">
        <f t="shared" si="586"/>
        <v>768194.82865900011</v>
      </c>
      <c r="K1264" s="35">
        <f t="shared" ref="K1264" si="587">K1265+K1436+K1449+K1464</f>
        <v>763898.69493</v>
      </c>
      <c r="L1264" s="35">
        <f t="shared" si="581"/>
        <v>82.916617904723125</v>
      </c>
      <c r="M1264" s="35">
        <f t="shared" si="582"/>
        <v>99.331814255279852</v>
      </c>
    </row>
    <row r="1265" spans="1:13" ht="25.5">
      <c r="A1265" s="59" t="s">
        <v>188</v>
      </c>
      <c r="B1265" s="28" t="s">
        <v>481</v>
      </c>
      <c r="C1265" s="28" t="s">
        <v>19</v>
      </c>
      <c r="D1265" s="28" t="s">
        <v>93</v>
      </c>
      <c r="E1265" s="28" t="s">
        <v>189</v>
      </c>
      <c r="F1265" s="58" t="s">
        <v>0</v>
      </c>
      <c r="G1265" s="35">
        <f>G1266+G1269+G1272+G1275+G1278+G1281+G1284+G1287+G1290+G1293+G1296+G1299+G1302+G1305+G1308+G1311+G1314+G1317+G1320+G1323+G1326+G1329+G1332+G1335+G1338+G1343+G1346+G1349+G1352+G1355+G1358+G1361+G1364+G1367+G1370+G1376+G1379+G1382+G1385+G1391+G1394+G1400+G1403+G1406+G1409+G1412+G1418+G1415+G1421+G1424+G1427+G1430++G1433</f>
        <v>640060</v>
      </c>
      <c r="H1265" s="35">
        <f t="shared" ref="H1265:J1265" si="588">H1266+H1269+H1272+H1275+H1278+H1281+H1284+H1287+H1290+H1293+H1296+H1299+H1302+H1305+H1308+H1311+H1314+H1317+H1320+H1323+H1326+H1329+H1332+H1335+H1338+H1343+H1346+H1349+H1352+H1355+H1358+H1361+H1364+H1367+H1370+H1376+H1379+H1382+H1385+H1391+H1394+H1400+H1403+H1406+H1409+H1412+H1418+H1415+H1421+H1424+H1427+H1430++H1433</f>
        <v>822189.39999999991</v>
      </c>
      <c r="I1265" s="35">
        <f t="shared" si="588"/>
        <v>698353.15482000005</v>
      </c>
      <c r="J1265" s="35">
        <f t="shared" si="588"/>
        <v>697636.49134000007</v>
      </c>
      <c r="K1265" s="35">
        <f t="shared" ref="K1265" si="589">K1266+K1269+K1278+K1281+K1284+K1287+K1290+K1296+K1314+K1326+K1335+K1338+K1343+K1346+K1349+K1352+K1355+K1358+K1361+K1364+K1367+K1370+K1373+K1376+K1379+K1382+K1385+K1388+K1391+K1394+K1397+K1400+K1403+K1406+K1409+K1412+K1415+K1418+K1421+K1424+K1427+K1430+K1433+K1272+K1275+K1293+K1299+K1302+K1305+K1308+K1311+K1317+K1320+K1323+K1329+K1332</f>
        <v>697636.49133999995</v>
      </c>
      <c r="L1265" s="35">
        <f t="shared" si="581"/>
        <v>84.851068542114504</v>
      </c>
      <c r="M1265" s="35">
        <f t="shared" si="582"/>
        <v>99.897378070815066</v>
      </c>
    </row>
    <row r="1266" spans="1:13" ht="25.5">
      <c r="A1266" s="59" t="s">
        <v>490</v>
      </c>
      <c r="B1266" s="28" t="s">
        <v>481</v>
      </c>
      <c r="C1266" s="28" t="s">
        <v>19</v>
      </c>
      <c r="D1266" s="28" t="s">
        <v>93</v>
      </c>
      <c r="E1266" s="28" t="s">
        <v>491</v>
      </c>
      <c r="F1266" s="58" t="s">
        <v>0</v>
      </c>
      <c r="G1266" s="35">
        <f>G1267</f>
        <v>933.1</v>
      </c>
      <c r="H1266" s="35">
        <f t="shared" ref="H1266:K1267" si="590">H1267</f>
        <v>752.1</v>
      </c>
      <c r="I1266" s="35">
        <f t="shared" si="590"/>
        <v>752.1</v>
      </c>
      <c r="J1266" s="35">
        <f t="shared" si="590"/>
        <v>752.1</v>
      </c>
      <c r="K1266" s="35">
        <f t="shared" si="590"/>
        <v>752.1</v>
      </c>
      <c r="L1266" s="35">
        <f t="shared" si="581"/>
        <v>100</v>
      </c>
      <c r="M1266" s="35">
        <f t="shared" si="582"/>
        <v>100</v>
      </c>
    </row>
    <row r="1267" spans="1:13">
      <c r="A1267" s="59" t="s">
        <v>72</v>
      </c>
      <c r="B1267" s="28" t="s">
        <v>481</v>
      </c>
      <c r="C1267" s="28" t="s">
        <v>19</v>
      </c>
      <c r="D1267" s="28" t="s">
        <v>93</v>
      </c>
      <c r="E1267" s="28" t="s">
        <v>491</v>
      </c>
      <c r="F1267" s="28" t="s">
        <v>73</v>
      </c>
      <c r="G1267" s="35">
        <f>G1268</f>
        <v>933.1</v>
      </c>
      <c r="H1267" s="35">
        <f t="shared" si="590"/>
        <v>752.1</v>
      </c>
      <c r="I1267" s="35">
        <f t="shared" si="590"/>
        <v>752.1</v>
      </c>
      <c r="J1267" s="35">
        <f t="shared" si="590"/>
        <v>752.1</v>
      </c>
      <c r="K1267" s="35">
        <f t="shared" si="590"/>
        <v>752.1</v>
      </c>
      <c r="L1267" s="35">
        <f t="shared" si="581"/>
        <v>100</v>
      </c>
      <c r="M1267" s="35">
        <f t="shared" si="582"/>
        <v>100</v>
      </c>
    </row>
    <row r="1268" spans="1:13" ht="51">
      <c r="A1268" s="59" t="s">
        <v>218</v>
      </c>
      <c r="B1268" s="28" t="s">
        <v>481</v>
      </c>
      <c r="C1268" s="28" t="s">
        <v>19</v>
      </c>
      <c r="D1268" s="28" t="s">
        <v>93</v>
      </c>
      <c r="E1268" s="28" t="s">
        <v>491</v>
      </c>
      <c r="F1268" s="28" t="s">
        <v>219</v>
      </c>
      <c r="G1268" s="35">
        <v>933.1</v>
      </c>
      <c r="H1268" s="35">
        <v>752.1</v>
      </c>
      <c r="I1268" s="35">
        <v>752.1</v>
      </c>
      <c r="J1268" s="35">
        <v>752.1</v>
      </c>
      <c r="K1268" s="35">
        <v>752.1</v>
      </c>
      <c r="L1268" s="35">
        <f t="shared" si="581"/>
        <v>100</v>
      </c>
      <c r="M1268" s="35">
        <f t="shared" si="582"/>
        <v>100</v>
      </c>
    </row>
    <row r="1269" spans="1:13" ht="38.25">
      <c r="A1269" s="59" t="s">
        <v>492</v>
      </c>
      <c r="B1269" s="28" t="s">
        <v>481</v>
      </c>
      <c r="C1269" s="28" t="s">
        <v>19</v>
      </c>
      <c r="D1269" s="28" t="s">
        <v>93</v>
      </c>
      <c r="E1269" s="28" t="s">
        <v>493</v>
      </c>
      <c r="F1269" s="58" t="s">
        <v>0</v>
      </c>
      <c r="G1269" s="35">
        <f>G1270</f>
        <v>40010.9</v>
      </c>
      <c r="H1269" s="35">
        <f t="shared" ref="H1269:K1270" si="591">H1270</f>
        <v>40010.9</v>
      </c>
      <c r="I1269" s="35">
        <f t="shared" si="591"/>
        <v>39996.565000000002</v>
      </c>
      <c r="J1269" s="35">
        <f t="shared" si="591"/>
        <v>39996.565000000002</v>
      </c>
      <c r="K1269" s="35">
        <f t="shared" si="591"/>
        <v>39996.565000000002</v>
      </c>
      <c r="L1269" s="35">
        <f t="shared" si="581"/>
        <v>99.964172263058316</v>
      </c>
      <c r="M1269" s="35">
        <f t="shared" si="582"/>
        <v>100</v>
      </c>
    </row>
    <row r="1270" spans="1:13">
      <c r="A1270" s="59" t="s">
        <v>72</v>
      </c>
      <c r="B1270" s="28" t="s">
        <v>481</v>
      </c>
      <c r="C1270" s="28" t="s">
        <v>19</v>
      </c>
      <c r="D1270" s="28" t="s">
        <v>93</v>
      </c>
      <c r="E1270" s="28" t="s">
        <v>493</v>
      </c>
      <c r="F1270" s="28" t="s">
        <v>73</v>
      </c>
      <c r="G1270" s="35">
        <f>G1271</f>
        <v>40010.9</v>
      </c>
      <c r="H1270" s="35">
        <f t="shared" si="591"/>
        <v>40010.9</v>
      </c>
      <c r="I1270" s="35">
        <f t="shared" si="591"/>
        <v>39996.565000000002</v>
      </c>
      <c r="J1270" s="35">
        <f t="shared" si="591"/>
        <v>39996.565000000002</v>
      </c>
      <c r="K1270" s="35">
        <f t="shared" si="591"/>
        <v>39996.565000000002</v>
      </c>
      <c r="L1270" s="35">
        <f t="shared" si="581"/>
        <v>99.964172263058316</v>
      </c>
      <c r="M1270" s="35">
        <f t="shared" si="582"/>
        <v>100</v>
      </c>
    </row>
    <row r="1271" spans="1:13" ht="51">
      <c r="A1271" s="59" t="s">
        <v>218</v>
      </c>
      <c r="B1271" s="28" t="s">
        <v>481</v>
      </c>
      <c r="C1271" s="28" t="s">
        <v>19</v>
      </c>
      <c r="D1271" s="28" t="s">
        <v>93</v>
      </c>
      <c r="E1271" s="28" t="s">
        <v>493</v>
      </c>
      <c r="F1271" s="28" t="s">
        <v>219</v>
      </c>
      <c r="G1271" s="35">
        <v>40010.9</v>
      </c>
      <c r="H1271" s="35">
        <v>40010.9</v>
      </c>
      <c r="I1271" s="35">
        <v>39996.565000000002</v>
      </c>
      <c r="J1271" s="35">
        <v>39996.565000000002</v>
      </c>
      <c r="K1271" s="35">
        <v>39996.565000000002</v>
      </c>
      <c r="L1271" s="35">
        <f t="shared" si="581"/>
        <v>99.964172263058316</v>
      </c>
      <c r="M1271" s="35">
        <f t="shared" si="582"/>
        <v>100</v>
      </c>
    </row>
    <row r="1272" spans="1:13" ht="54.75" customHeight="1">
      <c r="A1272" s="59" t="s">
        <v>1149</v>
      </c>
      <c r="B1272" s="28" t="s">
        <v>481</v>
      </c>
      <c r="C1272" s="28" t="s">
        <v>19</v>
      </c>
      <c r="D1272" s="28" t="s">
        <v>93</v>
      </c>
      <c r="E1272" s="29" t="s">
        <v>1148</v>
      </c>
      <c r="F1272" s="28"/>
      <c r="G1272" s="35"/>
      <c r="H1272" s="35">
        <f>H1273</f>
        <v>2652.5</v>
      </c>
      <c r="I1272" s="35">
        <f t="shared" ref="I1272:K1273" si="592">I1273</f>
        <v>1399.365</v>
      </c>
      <c r="J1272" s="35">
        <f t="shared" si="592"/>
        <v>1399.365</v>
      </c>
      <c r="K1272" s="35">
        <f t="shared" si="592"/>
        <v>1399.365</v>
      </c>
      <c r="L1272" s="35">
        <f t="shared" si="581"/>
        <v>52.756456173421299</v>
      </c>
      <c r="M1272" s="35">
        <f t="shared" si="582"/>
        <v>100</v>
      </c>
    </row>
    <row r="1273" spans="1:13">
      <c r="A1273" s="59" t="s">
        <v>72</v>
      </c>
      <c r="B1273" s="28" t="s">
        <v>481</v>
      </c>
      <c r="C1273" s="28" t="s">
        <v>19</v>
      </c>
      <c r="D1273" s="28" t="s">
        <v>93</v>
      </c>
      <c r="E1273" s="29" t="s">
        <v>1148</v>
      </c>
      <c r="F1273" s="28" t="s">
        <v>73</v>
      </c>
      <c r="G1273" s="35"/>
      <c r="H1273" s="35">
        <f>H1274</f>
        <v>2652.5</v>
      </c>
      <c r="I1273" s="35">
        <f t="shared" si="592"/>
        <v>1399.365</v>
      </c>
      <c r="J1273" s="35">
        <f t="shared" si="592"/>
        <v>1399.365</v>
      </c>
      <c r="K1273" s="35">
        <f t="shared" si="592"/>
        <v>1399.365</v>
      </c>
      <c r="L1273" s="35">
        <f t="shared" si="581"/>
        <v>52.756456173421299</v>
      </c>
      <c r="M1273" s="35">
        <f t="shared" si="582"/>
        <v>100</v>
      </c>
    </row>
    <row r="1274" spans="1:13" ht="51">
      <c r="A1274" s="59" t="s">
        <v>218</v>
      </c>
      <c r="B1274" s="28" t="s">
        <v>481</v>
      </c>
      <c r="C1274" s="28" t="s">
        <v>19</v>
      </c>
      <c r="D1274" s="28" t="s">
        <v>93</v>
      </c>
      <c r="E1274" s="29" t="s">
        <v>1148</v>
      </c>
      <c r="F1274" s="28" t="s">
        <v>219</v>
      </c>
      <c r="G1274" s="35"/>
      <c r="H1274" s="35">
        <v>2652.5</v>
      </c>
      <c r="I1274" s="35">
        <v>1399.365</v>
      </c>
      <c r="J1274" s="35">
        <v>1399.365</v>
      </c>
      <c r="K1274" s="35">
        <v>1399.365</v>
      </c>
      <c r="L1274" s="35">
        <f t="shared" si="581"/>
        <v>52.756456173421299</v>
      </c>
      <c r="M1274" s="35">
        <f t="shared" si="582"/>
        <v>100</v>
      </c>
    </row>
    <row r="1275" spans="1:13" ht="66.75" customHeight="1">
      <c r="A1275" s="59" t="s">
        <v>1151</v>
      </c>
      <c r="B1275" s="28" t="s">
        <v>481</v>
      </c>
      <c r="C1275" s="28" t="s">
        <v>19</v>
      </c>
      <c r="D1275" s="28" t="s">
        <v>93</v>
      </c>
      <c r="E1275" s="29" t="s">
        <v>1150</v>
      </c>
      <c r="F1275" s="28"/>
      <c r="G1275" s="35"/>
      <c r="H1275" s="35">
        <f>H1276</f>
        <v>9549.4</v>
      </c>
      <c r="I1275" s="35">
        <f t="shared" ref="I1275:K1276" si="593">I1276</f>
        <v>5320.7150000000001</v>
      </c>
      <c r="J1275" s="35">
        <f t="shared" si="593"/>
        <v>5320.7150000000001</v>
      </c>
      <c r="K1275" s="35">
        <f t="shared" si="593"/>
        <v>5320.7150000000001</v>
      </c>
      <c r="L1275" s="35">
        <f t="shared" si="581"/>
        <v>55.717793788091406</v>
      </c>
      <c r="M1275" s="35">
        <f t="shared" si="582"/>
        <v>100</v>
      </c>
    </row>
    <row r="1276" spans="1:13">
      <c r="A1276" s="59" t="s">
        <v>72</v>
      </c>
      <c r="B1276" s="28" t="s">
        <v>481</v>
      </c>
      <c r="C1276" s="28" t="s">
        <v>19</v>
      </c>
      <c r="D1276" s="28" t="s">
        <v>93</v>
      </c>
      <c r="E1276" s="29" t="s">
        <v>1150</v>
      </c>
      <c r="F1276" s="28" t="s">
        <v>73</v>
      </c>
      <c r="G1276" s="35"/>
      <c r="H1276" s="35">
        <f>H1277</f>
        <v>9549.4</v>
      </c>
      <c r="I1276" s="35">
        <f t="shared" si="593"/>
        <v>5320.7150000000001</v>
      </c>
      <c r="J1276" s="35">
        <f t="shared" si="593"/>
        <v>5320.7150000000001</v>
      </c>
      <c r="K1276" s="35">
        <f t="shared" si="593"/>
        <v>5320.7150000000001</v>
      </c>
      <c r="L1276" s="35">
        <f t="shared" si="581"/>
        <v>55.717793788091406</v>
      </c>
      <c r="M1276" s="35">
        <f t="shared" si="582"/>
        <v>100</v>
      </c>
    </row>
    <row r="1277" spans="1:13" ht="51">
      <c r="A1277" s="59" t="s">
        <v>218</v>
      </c>
      <c r="B1277" s="28" t="s">
        <v>481</v>
      </c>
      <c r="C1277" s="28" t="s">
        <v>19</v>
      </c>
      <c r="D1277" s="28" t="s">
        <v>93</v>
      </c>
      <c r="E1277" s="29" t="s">
        <v>1150</v>
      </c>
      <c r="F1277" s="28" t="s">
        <v>219</v>
      </c>
      <c r="G1277" s="35"/>
      <c r="H1277" s="35">
        <v>9549.4</v>
      </c>
      <c r="I1277" s="35">
        <v>5320.7150000000001</v>
      </c>
      <c r="J1277" s="35">
        <v>5320.7150000000001</v>
      </c>
      <c r="K1277" s="35">
        <v>5320.7150000000001</v>
      </c>
      <c r="L1277" s="35">
        <f t="shared" si="581"/>
        <v>55.717793788091406</v>
      </c>
      <c r="M1277" s="35">
        <f t="shared" si="582"/>
        <v>100</v>
      </c>
    </row>
    <row r="1278" spans="1:13" ht="51">
      <c r="A1278" s="59" t="s">
        <v>494</v>
      </c>
      <c r="B1278" s="28" t="s">
        <v>481</v>
      </c>
      <c r="C1278" s="28" t="s">
        <v>19</v>
      </c>
      <c r="D1278" s="28" t="s">
        <v>93</v>
      </c>
      <c r="E1278" s="28" t="s">
        <v>495</v>
      </c>
      <c r="F1278" s="58" t="s">
        <v>0</v>
      </c>
      <c r="G1278" s="35">
        <f>G1279</f>
        <v>5081.2</v>
      </c>
      <c r="H1278" s="35">
        <f t="shared" ref="H1278:K1279" si="594">H1279</f>
        <v>0</v>
      </c>
      <c r="I1278" s="35">
        <f t="shared" si="594"/>
        <v>0</v>
      </c>
      <c r="J1278" s="35">
        <f t="shared" si="594"/>
        <v>0</v>
      </c>
      <c r="K1278" s="35">
        <f t="shared" si="594"/>
        <v>0</v>
      </c>
      <c r="L1278" s="35">
        <v>0</v>
      </c>
      <c r="M1278" s="35">
        <v>0</v>
      </c>
    </row>
    <row r="1279" spans="1:13">
      <c r="A1279" s="59" t="s">
        <v>72</v>
      </c>
      <c r="B1279" s="28" t="s">
        <v>481</v>
      </c>
      <c r="C1279" s="28" t="s">
        <v>19</v>
      </c>
      <c r="D1279" s="28" t="s">
        <v>93</v>
      </c>
      <c r="E1279" s="28" t="s">
        <v>495</v>
      </c>
      <c r="F1279" s="28" t="s">
        <v>73</v>
      </c>
      <c r="G1279" s="35">
        <f>G1280</f>
        <v>5081.2</v>
      </c>
      <c r="H1279" s="35">
        <f t="shared" si="594"/>
        <v>0</v>
      </c>
      <c r="I1279" s="35">
        <f t="shared" si="594"/>
        <v>0</v>
      </c>
      <c r="J1279" s="35">
        <f t="shared" si="594"/>
        <v>0</v>
      </c>
      <c r="K1279" s="35">
        <f t="shared" si="594"/>
        <v>0</v>
      </c>
      <c r="L1279" s="35">
        <v>0</v>
      </c>
      <c r="M1279" s="35">
        <v>0</v>
      </c>
    </row>
    <row r="1280" spans="1:13" ht="51">
      <c r="A1280" s="59" t="s">
        <v>218</v>
      </c>
      <c r="B1280" s="28" t="s">
        <v>481</v>
      </c>
      <c r="C1280" s="28" t="s">
        <v>19</v>
      </c>
      <c r="D1280" s="28" t="s">
        <v>93</v>
      </c>
      <c r="E1280" s="28" t="s">
        <v>495</v>
      </c>
      <c r="F1280" s="28" t="s">
        <v>219</v>
      </c>
      <c r="G1280" s="35">
        <v>5081.2</v>
      </c>
      <c r="H1280" s="35">
        <v>0</v>
      </c>
      <c r="I1280" s="35">
        <v>0</v>
      </c>
      <c r="J1280" s="35">
        <v>0</v>
      </c>
      <c r="K1280" s="35">
        <v>0</v>
      </c>
      <c r="L1280" s="35">
        <v>0</v>
      </c>
      <c r="M1280" s="35">
        <v>0</v>
      </c>
    </row>
    <row r="1281" spans="1:13" ht="38.25">
      <c r="A1281" s="59" t="s">
        <v>496</v>
      </c>
      <c r="B1281" s="28" t="s">
        <v>481</v>
      </c>
      <c r="C1281" s="28" t="s">
        <v>19</v>
      </c>
      <c r="D1281" s="28" t="s">
        <v>93</v>
      </c>
      <c r="E1281" s="28" t="s">
        <v>497</v>
      </c>
      <c r="F1281" s="58" t="s">
        <v>0</v>
      </c>
      <c r="G1281" s="35">
        <f>G1282</f>
        <v>16337.4</v>
      </c>
      <c r="H1281" s="35">
        <f t="shared" ref="H1281:K1282" si="595">H1282</f>
        <v>20142.7</v>
      </c>
      <c r="I1281" s="35">
        <f t="shared" si="595"/>
        <v>19135.564999999999</v>
      </c>
      <c r="J1281" s="35">
        <f t="shared" si="595"/>
        <v>19135.564999999999</v>
      </c>
      <c r="K1281" s="35">
        <f t="shared" si="595"/>
        <v>19135.564999999999</v>
      </c>
      <c r="L1281" s="35">
        <f t="shared" si="581"/>
        <v>95</v>
      </c>
      <c r="M1281" s="35">
        <f t="shared" si="582"/>
        <v>100</v>
      </c>
    </row>
    <row r="1282" spans="1:13">
      <c r="A1282" s="59" t="s">
        <v>72</v>
      </c>
      <c r="B1282" s="28" t="s">
        <v>481</v>
      </c>
      <c r="C1282" s="28" t="s">
        <v>19</v>
      </c>
      <c r="D1282" s="28" t="s">
        <v>93</v>
      </c>
      <c r="E1282" s="28" t="s">
        <v>497</v>
      </c>
      <c r="F1282" s="28" t="s">
        <v>73</v>
      </c>
      <c r="G1282" s="35">
        <f>G1283</f>
        <v>16337.4</v>
      </c>
      <c r="H1282" s="35">
        <f t="shared" si="595"/>
        <v>20142.7</v>
      </c>
      <c r="I1282" s="35">
        <f t="shared" si="595"/>
        <v>19135.564999999999</v>
      </c>
      <c r="J1282" s="35">
        <f t="shared" si="595"/>
        <v>19135.564999999999</v>
      </c>
      <c r="K1282" s="35">
        <f t="shared" si="595"/>
        <v>19135.564999999999</v>
      </c>
      <c r="L1282" s="35">
        <f t="shared" si="581"/>
        <v>95</v>
      </c>
      <c r="M1282" s="35">
        <f t="shared" si="582"/>
        <v>100</v>
      </c>
    </row>
    <row r="1283" spans="1:13" ht="51">
      <c r="A1283" s="59" t="s">
        <v>218</v>
      </c>
      <c r="B1283" s="28" t="s">
        <v>481</v>
      </c>
      <c r="C1283" s="28" t="s">
        <v>19</v>
      </c>
      <c r="D1283" s="28" t="s">
        <v>93</v>
      </c>
      <c r="E1283" s="28" t="s">
        <v>497</v>
      </c>
      <c r="F1283" s="28" t="s">
        <v>219</v>
      </c>
      <c r="G1283" s="35">
        <v>16337.4</v>
      </c>
      <c r="H1283" s="35">
        <v>20142.7</v>
      </c>
      <c r="I1283" s="35">
        <v>19135.564999999999</v>
      </c>
      <c r="J1283" s="35">
        <v>19135.564999999999</v>
      </c>
      <c r="K1283" s="35">
        <v>19135.564999999999</v>
      </c>
      <c r="L1283" s="35">
        <f t="shared" si="581"/>
        <v>95</v>
      </c>
      <c r="M1283" s="35">
        <f t="shared" si="582"/>
        <v>100</v>
      </c>
    </row>
    <row r="1284" spans="1:13">
      <c r="A1284" s="59" t="s">
        <v>498</v>
      </c>
      <c r="B1284" s="28" t="s">
        <v>481</v>
      </c>
      <c r="C1284" s="28" t="s">
        <v>19</v>
      </c>
      <c r="D1284" s="28" t="s">
        <v>93</v>
      </c>
      <c r="E1284" s="28" t="s">
        <v>499</v>
      </c>
      <c r="F1284" s="58" t="s">
        <v>0</v>
      </c>
      <c r="G1284" s="35">
        <f>G1285</f>
        <v>310.10000000000002</v>
      </c>
      <c r="H1284" s="35">
        <f t="shared" ref="H1284:K1288" si="596">H1285</f>
        <v>310.10000000000002</v>
      </c>
      <c r="I1284" s="35">
        <f t="shared" si="596"/>
        <v>310.10000000000002</v>
      </c>
      <c r="J1284" s="35">
        <f t="shared" si="596"/>
        <v>310.10000000000002</v>
      </c>
      <c r="K1284" s="35">
        <f t="shared" si="596"/>
        <v>310.10000000000002</v>
      </c>
      <c r="L1284" s="35">
        <f t="shared" si="581"/>
        <v>100</v>
      </c>
      <c r="M1284" s="35">
        <f t="shared" si="582"/>
        <v>100</v>
      </c>
    </row>
    <row r="1285" spans="1:13">
      <c r="A1285" s="59" t="s">
        <v>72</v>
      </c>
      <c r="B1285" s="28" t="s">
        <v>481</v>
      </c>
      <c r="C1285" s="28" t="s">
        <v>19</v>
      </c>
      <c r="D1285" s="28" t="s">
        <v>93</v>
      </c>
      <c r="E1285" s="28" t="s">
        <v>499</v>
      </c>
      <c r="F1285" s="28" t="s">
        <v>73</v>
      </c>
      <c r="G1285" s="35">
        <f>G1286</f>
        <v>310.10000000000002</v>
      </c>
      <c r="H1285" s="35">
        <f t="shared" si="596"/>
        <v>310.10000000000002</v>
      </c>
      <c r="I1285" s="35">
        <f t="shared" si="596"/>
        <v>310.10000000000002</v>
      </c>
      <c r="J1285" s="35">
        <f t="shared" si="596"/>
        <v>310.10000000000002</v>
      </c>
      <c r="K1285" s="35">
        <f>K1286</f>
        <v>310.10000000000002</v>
      </c>
      <c r="L1285" s="35">
        <f t="shared" si="581"/>
        <v>100</v>
      </c>
      <c r="M1285" s="35">
        <f t="shared" si="582"/>
        <v>100</v>
      </c>
    </row>
    <row r="1286" spans="1:13" ht="51">
      <c r="A1286" s="59" t="s">
        <v>218</v>
      </c>
      <c r="B1286" s="28" t="s">
        <v>481</v>
      </c>
      <c r="C1286" s="28" t="s">
        <v>19</v>
      </c>
      <c r="D1286" s="28" t="s">
        <v>93</v>
      </c>
      <c r="E1286" s="28" t="s">
        <v>499</v>
      </c>
      <c r="F1286" s="28" t="s">
        <v>219</v>
      </c>
      <c r="G1286" s="35">
        <v>310.10000000000002</v>
      </c>
      <c r="H1286" s="35">
        <v>310.10000000000002</v>
      </c>
      <c r="I1286" s="35">
        <v>310.10000000000002</v>
      </c>
      <c r="J1286" s="35">
        <v>310.10000000000002</v>
      </c>
      <c r="K1286" s="35">
        <v>310.10000000000002</v>
      </c>
      <c r="L1286" s="35">
        <f t="shared" si="581"/>
        <v>100</v>
      </c>
      <c r="M1286" s="35">
        <f t="shared" si="582"/>
        <v>100</v>
      </c>
    </row>
    <row r="1287" spans="1:13" ht="25.5">
      <c r="A1287" s="59" t="s">
        <v>500</v>
      </c>
      <c r="B1287" s="28" t="s">
        <v>481</v>
      </c>
      <c r="C1287" s="28" t="s">
        <v>19</v>
      </c>
      <c r="D1287" s="28" t="s">
        <v>93</v>
      </c>
      <c r="E1287" s="28" t="s">
        <v>501</v>
      </c>
      <c r="F1287" s="58" t="s">
        <v>0</v>
      </c>
      <c r="G1287" s="35">
        <f>G1288</f>
        <v>89968.2</v>
      </c>
      <c r="H1287" s="35">
        <f t="shared" si="596"/>
        <v>100349.3</v>
      </c>
      <c r="I1287" s="35">
        <f t="shared" si="596"/>
        <v>65560.862899999993</v>
      </c>
      <c r="J1287" s="35">
        <f t="shared" si="596"/>
        <v>65560.862899999993</v>
      </c>
      <c r="K1287" s="35">
        <f t="shared" si="596"/>
        <v>65560.862899999993</v>
      </c>
      <c r="L1287" s="35">
        <f t="shared" si="581"/>
        <v>65.332655932826626</v>
      </c>
      <c r="M1287" s="35">
        <f t="shared" si="582"/>
        <v>100</v>
      </c>
    </row>
    <row r="1288" spans="1:13">
      <c r="A1288" s="59" t="s">
        <v>72</v>
      </c>
      <c r="B1288" s="28" t="s">
        <v>481</v>
      </c>
      <c r="C1288" s="28" t="s">
        <v>19</v>
      </c>
      <c r="D1288" s="28" t="s">
        <v>93</v>
      </c>
      <c r="E1288" s="28" t="s">
        <v>501</v>
      </c>
      <c r="F1288" s="28" t="s">
        <v>73</v>
      </c>
      <c r="G1288" s="35">
        <f>G1289</f>
        <v>89968.2</v>
      </c>
      <c r="H1288" s="35">
        <f t="shared" si="596"/>
        <v>100349.3</v>
      </c>
      <c r="I1288" s="35">
        <f t="shared" si="596"/>
        <v>65560.862899999993</v>
      </c>
      <c r="J1288" s="35">
        <f t="shared" si="596"/>
        <v>65560.862899999993</v>
      </c>
      <c r="K1288" s="35">
        <f t="shared" si="596"/>
        <v>65560.862899999993</v>
      </c>
      <c r="L1288" s="35">
        <f t="shared" si="581"/>
        <v>65.332655932826626</v>
      </c>
      <c r="M1288" s="35">
        <f t="shared" si="582"/>
        <v>100</v>
      </c>
    </row>
    <row r="1289" spans="1:13" ht="51">
      <c r="A1289" s="59" t="s">
        <v>218</v>
      </c>
      <c r="B1289" s="28" t="s">
        <v>481</v>
      </c>
      <c r="C1289" s="28" t="s">
        <v>19</v>
      </c>
      <c r="D1289" s="28" t="s">
        <v>93</v>
      </c>
      <c r="E1289" s="28" t="s">
        <v>501</v>
      </c>
      <c r="F1289" s="28" t="s">
        <v>219</v>
      </c>
      <c r="G1289" s="35">
        <v>89968.2</v>
      </c>
      <c r="H1289" s="35">
        <v>100349.3</v>
      </c>
      <c r="I1289" s="35">
        <v>65560.862899999993</v>
      </c>
      <c r="J1289" s="35">
        <v>65560.862899999993</v>
      </c>
      <c r="K1289" s="35">
        <v>65560.862899999993</v>
      </c>
      <c r="L1289" s="35">
        <f t="shared" si="581"/>
        <v>65.332655932826626</v>
      </c>
      <c r="M1289" s="35">
        <f t="shared" si="582"/>
        <v>100</v>
      </c>
    </row>
    <row r="1290" spans="1:13" ht="25.5">
      <c r="A1290" s="59" t="s">
        <v>502</v>
      </c>
      <c r="B1290" s="28" t="s">
        <v>481</v>
      </c>
      <c r="C1290" s="28" t="s">
        <v>19</v>
      </c>
      <c r="D1290" s="28" t="s">
        <v>93</v>
      </c>
      <c r="E1290" s="28" t="s">
        <v>503</v>
      </c>
      <c r="F1290" s="58" t="s">
        <v>0</v>
      </c>
      <c r="G1290" s="35">
        <f>G1291</f>
        <v>356.8</v>
      </c>
      <c r="H1290" s="35">
        <f t="shared" ref="H1290:K1291" si="597">H1291</f>
        <v>356.8</v>
      </c>
      <c r="I1290" s="35">
        <f t="shared" si="597"/>
        <v>356.8</v>
      </c>
      <c r="J1290" s="35">
        <f t="shared" si="597"/>
        <v>356.8</v>
      </c>
      <c r="K1290" s="35">
        <f t="shared" si="597"/>
        <v>356.8</v>
      </c>
      <c r="L1290" s="35">
        <f t="shared" si="581"/>
        <v>100</v>
      </c>
      <c r="M1290" s="35">
        <f t="shared" si="582"/>
        <v>100</v>
      </c>
    </row>
    <row r="1291" spans="1:13">
      <c r="A1291" s="59" t="s">
        <v>72</v>
      </c>
      <c r="B1291" s="28" t="s">
        <v>481</v>
      </c>
      <c r="C1291" s="28" t="s">
        <v>19</v>
      </c>
      <c r="D1291" s="28" t="s">
        <v>93</v>
      </c>
      <c r="E1291" s="28" t="s">
        <v>503</v>
      </c>
      <c r="F1291" s="28" t="s">
        <v>73</v>
      </c>
      <c r="G1291" s="35">
        <f>G1292</f>
        <v>356.8</v>
      </c>
      <c r="H1291" s="35">
        <f t="shared" si="597"/>
        <v>356.8</v>
      </c>
      <c r="I1291" s="35">
        <f t="shared" si="597"/>
        <v>356.8</v>
      </c>
      <c r="J1291" s="35">
        <f t="shared" si="597"/>
        <v>356.8</v>
      </c>
      <c r="K1291" s="35">
        <f t="shared" si="597"/>
        <v>356.8</v>
      </c>
      <c r="L1291" s="35">
        <f t="shared" si="581"/>
        <v>100</v>
      </c>
      <c r="M1291" s="35">
        <f t="shared" si="582"/>
        <v>100</v>
      </c>
    </row>
    <row r="1292" spans="1:13" ht="51">
      <c r="A1292" s="59" t="s">
        <v>218</v>
      </c>
      <c r="B1292" s="28" t="s">
        <v>481</v>
      </c>
      <c r="C1292" s="28" t="s">
        <v>19</v>
      </c>
      <c r="D1292" s="28" t="s">
        <v>93</v>
      </c>
      <c r="E1292" s="28" t="s">
        <v>503</v>
      </c>
      <c r="F1292" s="28" t="s">
        <v>219</v>
      </c>
      <c r="G1292" s="35">
        <v>356.8</v>
      </c>
      <c r="H1292" s="35">
        <v>356.8</v>
      </c>
      <c r="I1292" s="35">
        <v>356.8</v>
      </c>
      <c r="J1292" s="35">
        <v>356.8</v>
      </c>
      <c r="K1292" s="35">
        <v>356.8</v>
      </c>
      <c r="L1292" s="35">
        <f t="shared" si="581"/>
        <v>100</v>
      </c>
      <c r="M1292" s="35">
        <f t="shared" si="582"/>
        <v>100</v>
      </c>
    </row>
    <row r="1293" spans="1:13" ht="68.25" customHeight="1">
      <c r="A1293" s="59" t="s">
        <v>1153</v>
      </c>
      <c r="B1293" s="28" t="s">
        <v>481</v>
      </c>
      <c r="C1293" s="28" t="s">
        <v>19</v>
      </c>
      <c r="D1293" s="28" t="s">
        <v>93</v>
      </c>
      <c r="E1293" s="29" t="s">
        <v>1152</v>
      </c>
      <c r="F1293" s="28"/>
      <c r="G1293" s="35"/>
      <c r="H1293" s="35">
        <f>H1294</f>
        <v>5891.7</v>
      </c>
      <c r="I1293" s="35">
        <f t="shared" ref="I1293:K1294" si="598">I1294</f>
        <v>5891.7</v>
      </c>
      <c r="J1293" s="35">
        <f t="shared" si="598"/>
        <v>5891.7</v>
      </c>
      <c r="K1293" s="35">
        <f t="shared" si="598"/>
        <v>5891.7</v>
      </c>
      <c r="L1293" s="35">
        <f t="shared" si="581"/>
        <v>100</v>
      </c>
      <c r="M1293" s="35">
        <f t="shared" si="582"/>
        <v>100</v>
      </c>
    </row>
    <row r="1294" spans="1:13">
      <c r="A1294" s="59" t="s">
        <v>72</v>
      </c>
      <c r="B1294" s="28" t="s">
        <v>481</v>
      </c>
      <c r="C1294" s="28" t="s">
        <v>19</v>
      </c>
      <c r="D1294" s="28" t="s">
        <v>93</v>
      </c>
      <c r="E1294" s="29" t="s">
        <v>1152</v>
      </c>
      <c r="F1294" s="28" t="s">
        <v>73</v>
      </c>
      <c r="G1294" s="35"/>
      <c r="H1294" s="35">
        <f>H1295</f>
        <v>5891.7</v>
      </c>
      <c r="I1294" s="35">
        <f t="shared" si="598"/>
        <v>5891.7</v>
      </c>
      <c r="J1294" s="35">
        <f t="shared" si="598"/>
        <v>5891.7</v>
      </c>
      <c r="K1294" s="35">
        <f t="shared" si="598"/>
        <v>5891.7</v>
      </c>
      <c r="L1294" s="35">
        <f t="shared" si="581"/>
        <v>100</v>
      </c>
      <c r="M1294" s="35">
        <f t="shared" si="582"/>
        <v>100</v>
      </c>
    </row>
    <row r="1295" spans="1:13" ht="51">
      <c r="A1295" s="59" t="s">
        <v>218</v>
      </c>
      <c r="B1295" s="28" t="s">
        <v>481</v>
      </c>
      <c r="C1295" s="28" t="s">
        <v>19</v>
      </c>
      <c r="D1295" s="28" t="s">
        <v>93</v>
      </c>
      <c r="E1295" s="29" t="s">
        <v>1152</v>
      </c>
      <c r="F1295" s="28" t="s">
        <v>219</v>
      </c>
      <c r="G1295" s="35"/>
      <c r="H1295" s="35">
        <v>5891.7</v>
      </c>
      <c r="I1295" s="35">
        <v>5891.7</v>
      </c>
      <c r="J1295" s="35">
        <v>5891.7</v>
      </c>
      <c r="K1295" s="35">
        <v>5891.7</v>
      </c>
      <c r="L1295" s="35">
        <f t="shared" si="581"/>
        <v>100</v>
      </c>
      <c r="M1295" s="35">
        <f t="shared" si="582"/>
        <v>100</v>
      </c>
    </row>
    <row r="1296" spans="1:13" ht="51">
      <c r="A1296" s="59" t="s">
        <v>504</v>
      </c>
      <c r="B1296" s="28" t="s">
        <v>481</v>
      </c>
      <c r="C1296" s="28" t="s">
        <v>19</v>
      </c>
      <c r="D1296" s="28" t="s">
        <v>93</v>
      </c>
      <c r="E1296" s="28" t="s">
        <v>505</v>
      </c>
      <c r="F1296" s="58" t="s">
        <v>0</v>
      </c>
      <c r="G1296" s="35">
        <f>G1297</f>
        <v>1999.8</v>
      </c>
      <c r="H1296" s="35">
        <f t="shared" ref="H1296:K1297" si="599">H1297</f>
        <v>0</v>
      </c>
      <c r="I1296" s="35">
        <f t="shared" si="599"/>
        <v>0</v>
      </c>
      <c r="J1296" s="35">
        <f t="shared" si="599"/>
        <v>0</v>
      </c>
      <c r="K1296" s="35">
        <v>0</v>
      </c>
      <c r="L1296" s="35">
        <v>0</v>
      </c>
      <c r="M1296" s="35">
        <v>0</v>
      </c>
    </row>
    <row r="1297" spans="1:13">
      <c r="A1297" s="59" t="s">
        <v>72</v>
      </c>
      <c r="B1297" s="28" t="s">
        <v>481</v>
      </c>
      <c r="C1297" s="28" t="s">
        <v>19</v>
      </c>
      <c r="D1297" s="28" t="s">
        <v>93</v>
      </c>
      <c r="E1297" s="28" t="s">
        <v>505</v>
      </c>
      <c r="F1297" s="28" t="s">
        <v>73</v>
      </c>
      <c r="G1297" s="35">
        <f>G1298</f>
        <v>1999.8</v>
      </c>
      <c r="H1297" s="35">
        <f t="shared" si="599"/>
        <v>0</v>
      </c>
      <c r="I1297" s="35">
        <f t="shared" si="599"/>
        <v>0</v>
      </c>
      <c r="J1297" s="35">
        <f t="shared" si="599"/>
        <v>0</v>
      </c>
      <c r="K1297" s="35">
        <f t="shared" si="599"/>
        <v>0</v>
      </c>
      <c r="L1297" s="35">
        <v>0</v>
      </c>
      <c r="M1297" s="35">
        <v>0</v>
      </c>
    </row>
    <row r="1298" spans="1:13" ht="51">
      <c r="A1298" s="59" t="s">
        <v>218</v>
      </c>
      <c r="B1298" s="28" t="s">
        <v>481</v>
      </c>
      <c r="C1298" s="28" t="s">
        <v>19</v>
      </c>
      <c r="D1298" s="28" t="s">
        <v>93</v>
      </c>
      <c r="E1298" s="28" t="s">
        <v>505</v>
      </c>
      <c r="F1298" s="28" t="s">
        <v>219</v>
      </c>
      <c r="G1298" s="35">
        <v>1999.8</v>
      </c>
      <c r="H1298" s="35">
        <v>0</v>
      </c>
      <c r="I1298" s="35">
        <v>0</v>
      </c>
      <c r="J1298" s="35">
        <v>0</v>
      </c>
      <c r="K1298" s="35">
        <v>0</v>
      </c>
      <c r="L1298" s="35">
        <v>0</v>
      </c>
      <c r="M1298" s="35">
        <v>0</v>
      </c>
    </row>
    <row r="1299" spans="1:13" ht="45.75" customHeight="1">
      <c r="A1299" s="59" t="s">
        <v>1155</v>
      </c>
      <c r="B1299" s="28" t="s">
        <v>481</v>
      </c>
      <c r="C1299" s="28" t="s">
        <v>19</v>
      </c>
      <c r="D1299" s="28" t="s">
        <v>93</v>
      </c>
      <c r="E1299" s="29" t="s">
        <v>1154</v>
      </c>
      <c r="F1299" s="28"/>
      <c r="G1299" s="35"/>
      <c r="H1299" s="35">
        <f>H1300</f>
        <v>2913.5</v>
      </c>
      <c r="I1299" s="35">
        <f t="shared" ref="I1299:K1300" si="600">I1300</f>
        <v>2630.8429999999998</v>
      </c>
      <c r="J1299" s="35">
        <f t="shared" si="600"/>
        <v>2630.8429999999998</v>
      </c>
      <c r="K1299" s="35">
        <f t="shared" si="600"/>
        <v>2630.8429999999998</v>
      </c>
      <c r="L1299" s="35">
        <f t="shared" si="581"/>
        <v>90.298369658486351</v>
      </c>
      <c r="M1299" s="35">
        <f t="shared" si="582"/>
        <v>100</v>
      </c>
    </row>
    <row r="1300" spans="1:13">
      <c r="A1300" s="59" t="s">
        <v>72</v>
      </c>
      <c r="B1300" s="28" t="s">
        <v>481</v>
      </c>
      <c r="C1300" s="28" t="s">
        <v>19</v>
      </c>
      <c r="D1300" s="28" t="s">
        <v>93</v>
      </c>
      <c r="E1300" s="29" t="s">
        <v>1154</v>
      </c>
      <c r="F1300" s="28" t="s">
        <v>73</v>
      </c>
      <c r="G1300" s="35"/>
      <c r="H1300" s="35">
        <f>H1301</f>
        <v>2913.5</v>
      </c>
      <c r="I1300" s="35">
        <f t="shared" si="600"/>
        <v>2630.8429999999998</v>
      </c>
      <c r="J1300" s="35">
        <f t="shared" si="600"/>
        <v>2630.8429999999998</v>
      </c>
      <c r="K1300" s="35">
        <f t="shared" si="600"/>
        <v>2630.8429999999998</v>
      </c>
      <c r="L1300" s="35">
        <f t="shared" si="581"/>
        <v>90.298369658486351</v>
      </c>
      <c r="M1300" s="35">
        <f t="shared" si="582"/>
        <v>100</v>
      </c>
    </row>
    <row r="1301" spans="1:13" ht="51">
      <c r="A1301" s="59" t="s">
        <v>218</v>
      </c>
      <c r="B1301" s="28" t="s">
        <v>481</v>
      </c>
      <c r="C1301" s="28" t="s">
        <v>19</v>
      </c>
      <c r="D1301" s="28" t="s">
        <v>93</v>
      </c>
      <c r="E1301" s="29" t="s">
        <v>1154</v>
      </c>
      <c r="F1301" s="28" t="s">
        <v>219</v>
      </c>
      <c r="G1301" s="35"/>
      <c r="H1301" s="35">
        <v>2913.5</v>
      </c>
      <c r="I1301" s="35">
        <v>2630.8429999999998</v>
      </c>
      <c r="J1301" s="35">
        <v>2630.8429999999998</v>
      </c>
      <c r="K1301" s="35">
        <v>2630.8429999999998</v>
      </c>
      <c r="L1301" s="35">
        <f t="shared" si="581"/>
        <v>90.298369658486351</v>
      </c>
      <c r="M1301" s="35">
        <f t="shared" si="582"/>
        <v>100</v>
      </c>
    </row>
    <row r="1302" spans="1:13">
      <c r="A1302" s="59" t="s">
        <v>1157</v>
      </c>
      <c r="B1302" s="28" t="s">
        <v>481</v>
      </c>
      <c r="C1302" s="28" t="s">
        <v>19</v>
      </c>
      <c r="D1302" s="28" t="s">
        <v>93</v>
      </c>
      <c r="E1302" s="29" t="s">
        <v>1156</v>
      </c>
      <c r="F1302" s="28"/>
      <c r="G1302" s="35"/>
      <c r="H1302" s="35">
        <f>H1303</f>
        <v>35514</v>
      </c>
      <c r="I1302" s="35">
        <f t="shared" ref="I1302:K1303" si="601">I1303</f>
        <v>35514</v>
      </c>
      <c r="J1302" s="35">
        <f t="shared" si="601"/>
        <v>35514</v>
      </c>
      <c r="K1302" s="35">
        <f t="shared" si="601"/>
        <v>35514</v>
      </c>
      <c r="L1302" s="35">
        <f t="shared" si="581"/>
        <v>100</v>
      </c>
      <c r="M1302" s="35">
        <f t="shared" si="582"/>
        <v>100</v>
      </c>
    </row>
    <row r="1303" spans="1:13">
      <c r="A1303" s="59" t="s">
        <v>72</v>
      </c>
      <c r="B1303" s="28" t="s">
        <v>481</v>
      </c>
      <c r="C1303" s="28" t="s">
        <v>19</v>
      </c>
      <c r="D1303" s="28" t="s">
        <v>93</v>
      </c>
      <c r="E1303" s="29" t="s">
        <v>1156</v>
      </c>
      <c r="F1303" s="28" t="s">
        <v>73</v>
      </c>
      <c r="G1303" s="35"/>
      <c r="H1303" s="35">
        <f>H1304</f>
        <v>35514</v>
      </c>
      <c r="I1303" s="35">
        <f t="shared" si="601"/>
        <v>35514</v>
      </c>
      <c r="J1303" s="35">
        <f t="shared" si="601"/>
        <v>35514</v>
      </c>
      <c r="K1303" s="35">
        <f t="shared" si="601"/>
        <v>35514</v>
      </c>
      <c r="L1303" s="35">
        <f t="shared" si="581"/>
        <v>100</v>
      </c>
      <c r="M1303" s="35">
        <f t="shared" si="582"/>
        <v>100</v>
      </c>
    </row>
    <row r="1304" spans="1:13" ht="51">
      <c r="A1304" s="59" t="s">
        <v>218</v>
      </c>
      <c r="B1304" s="28" t="s">
        <v>481</v>
      </c>
      <c r="C1304" s="28" t="s">
        <v>19</v>
      </c>
      <c r="D1304" s="28" t="s">
        <v>93</v>
      </c>
      <c r="E1304" s="29" t="s">
        <v>1156</v>
      </c>
      <c r="F1304" s="28" t="s">
        <v>219</v>
      </c>
      <c r="G1304" s="35"/>
      <c r="H1304" s="35">
        <v>35514</v>
      </c>
      <c r="I1304" s="35">
        <v>35514</v>
      </c>
      <c r="J1304" s="35">
        <v>35514</v>
      </c>
      <c r="K1304" s="35">
        <v>35514</v>
      </c>
      <c r="L1304" s="35">
        <f t="shared" si="581"/>
        <v>100</v>
      </c>
      <c r="M1304" s="35">
        <f t="shared" si="582"/>
        <v>100</v>
      </c>
    </row>
    <row r="1305" spans="1:13">
      <c r="A1305" s="59" t="s">
        <v>1159</v>
      </c>
      <c r="B1305" s="28" t="s">
        <v>481</v>
      </c>
      <c r="C1305" s="28" t="s">
        <v>19</v>
      </c>
      <c r="D1305" s="28" t="s">
        <v>93</v>
      </c>
      <c r="E1305" s="29" t="s">
        <v>1158</v>
      </c>
      <c r="F1305" s="28"/>
      <c r="G1305" s="35"/>
      <c r="H1305" s="35">
        <f>H1306</f>
        <v>27045</v>
      </c>
      <c r="I1305" s="35">
        <f t="shared" ref="I1305:K1306" si="602">I1306</f>
        <v>27045</v>
      </c>
      <c r="J1305" s="35">
        <f t="shared" si="602"/>
        <v>27045</v>
      </c>
      <c r="K1305" s="35">
        <f t="shared" si="602"/>
        <v>27045</v>
      </c>
      <c r="L1305" s="35">
        <f t="shared" si="581"/>
        <v>100</v>
      </c>
      <c r="M1305" s="35">
        <f t="shared" si="582"/>
        <v>100</v>
      </c>
    </row>
    <row r="1306" spans="1:13">
      <c r="A1306" s="59" t="s">
        <v>72</v>
      </c>
      <c r="B1306" s="28" t="s">
        <v>481</v>
      </c>
      <c r="C1306" s="28" t="s">
        <v>19</v>
      </c>
      <c r="D1306" s="28" t="s">
        <v>93</v>
      </c>
      <c r="E1306" s="29" t="s">
        <v>1158</v>
      </c>
      <c r="F1306" s="28" t="s">
        <v>73</v>
      </c>
      <c r="G1306" s="35"/>
      <c r="H1306" s="35">
        <f>H1307</f>
        <v>27045</v>
      </c>
      <c r="I1306" s="35">
        <f t="shared" si="602"/>
        <v>27045</v>
      </c>
      <c r="J1306" s="35">
        <f t="shared" si="602"/>
        <v>27045</v>
      </c>
      <c r="K1306" s="35">
        <f t="shared" si="602"/>
        <v>27045</v>
      </c>
      <c r="L1306" s="35">
        <f t="shared" si="581"/>
        <v>100</v>
      </c>
      <c r="M1306" s="35">
        <f t="shared" si="582"/>
        <v>100</v>
      </c>
    </row>
    <row r="1307" spans="1:13" ht="51">
      <c r="A1307" s="59" t="s">
        <v>218</v>
      </c>
      <c r="B1307" s="28" t="s">
        <v>481</v>
      </c>
      <c r="C1307" s="28" t="s">
        <v>19</v>
      </c>
      <c r="D1307" s="28" t="s">
        <v>93</v>
      </c>
      <c r="E1307" s="29" t="s">
        <v>1158</v>
      </c>
      <c r="F1307" s="28" t="s">
        <v>219</v>
      </c>
      <c r="G1307" s="35"/>
      <c r="H1307" s="35">
        <v>27045</v>
      </c>
      <c r="I1307" s="35">
        <v>27045</v>
      </c>
      <c r="J1307" s="35">
        <v>27045</v>
      </c>
      <c r="K1307" s="35">
        <v>27045</v>
      </c>
      <c r="L1307" s="35">
        <f t="shared" si="581"/>
        <v>100</v>
      </c>
      <c r="M1307" s="35">
        <f t="shared" si="582"/>
        <v>100</v>
      </c>
    </row>
    <row r="1308" spans="1:13" ht="44.25" customHeight="1">
      <c r="A1308" s="59" t="s">
        <v>1162</v>
      </c>
      <c r="B1308" s="28" t="s">
        <v>481</v>
      </c>
      <c r="C1308" s="28" t="s">
        <v>19</v>
      </c>
      <c r="D1308" s="28" t="s">
        <v>93</v>
      </c>
      <c r="E1308" s="29" t="s">
        <v>1160</v>
      </c>
      <c r="F1308" s="28"/>
      <c r="G1308" s="35"/>
      <c r="H1308" s="35">
        <f>H1309</f>
        <v>255.6</v>
      </c>
      <c r="I1308" s="35">
        <f t="shared" ref="I1308:K1309" si="603">I1309</f>
        <v>255.6</v>
      </c>
      <c r="J1308" s="35">
        <f t="shared" si="603"/>
        <v>255.6</v>
      </c>
      <c r="K1308" s="35">
        <f t="shared" si="603"/>
        <v>255.6</v>
      </c>
      <c r="L1308" s="35">
        <f t="shared" si="581"/>
        <v>100</v>
      </c>
      <c r="M1308" s="35">
        <f t="shared" si="582"/>
        <v>100</v>
      </c>
    </row>
    <row r="1309" spans="1:13">
      <c r="A1309" s="59" t="s">
        <v>72</v>
      </c>
      <c r="B1309" s="28" t="s">
        <v>481</v>
      </c>
      <c r="C1309" s="28" t="s">
        <v>19</v>
      </c>
      <c r="D1309" s="28" t="s">
        <v>93</v>
      </c>
      <c r="E1309" s="29" t="s">
        <v>1160</v>
      </c>
      <c r="F1309" s="28" t="s">
        <v>73</v>
      </c>
      <c r="G1309" s="35"/>
      <c r="H1309" s="35">
        <f>H1310</f>
        <v>255.6</v>
      </c>
      <c r="I1309" s="35">
        <f t="shared" si="603"/>
        <v>255.6</v>
      </c>
      <c r="J1309" s="35">
        <f t="shared" si="603"/>
        <v>255.6</v>
      </c>
      <c r="K1309" s="35">
        <f t="shared" si="603"/>
        <v>255.6</v>
      </c>
      <c r="L1309" s="35">
        <f t="shared" si="581"/>
        <v>100</v>
      </c>
      <c r="M1309" s="35">
        <f t="shared" si="582"/>
        <v>100</v>
      </c>
    </row>
    <row r="1310" spans="1:13" ht="51">
      <c r="A1310" s="59" t="s">
        <v>218</v>
      </c>
      <c r="B1310" s="28" t="s">
        <v>481</v>
      </c>
      <c r="C1310" s="28" t="s">
        <v>19</v>
      </c>
      <c r="D1310" s="28" t="s">
        <v>93</v>
      </c>
      <c r="E1310" s="29" t="s">
        <v>1160</v>
      </c>
      <c r="F1310" s="28" t="s">
        <v>219</v>
      </c>
      <c r="G1310" s="35"/>
      <c r="H1310" s="35">
        <v>255.6</v>
      </c>
      <c r="I1310" s="35">
        <v>255.6</v>
      </c>
      <c r="J1310" s="35">
        <v>255.6</v>
      </c>
      <c r="K1310" s="35">
        <v>255.6</v>
      </c>
      <c r="L1310" s="35">
        <f t="shared" si="581"/>
        <v>100</v>
      </c>
      <c r="M1310" s="35">
        <f t="shared" si="582"/>
        <v>100</v>
      </c>
    </row>
    <row r="1311" spans="1:13" ht="41.25" customHeight="1">
      <c r="A1311" s="59" t="s">
        <v>1163</v>
      </c>
      <c r="B1311" s="28" t="s">
        <v>481</v>
      </c>
      <c r="C1311" s="28" t="s">
        <v>19</v>
      </c>
      <c r="D1311" s="28" t="s">
        <v>93</v>
      </c>
      <c r="E1311" s="29" t="s">
        <v>1161</v>
      </c>
      <c r="F1311" s="28"/>
      <c r="G1311" s="35"/>
      <c r="H1311" s="35">
        <f>H1312</f>
        <v>35592</v>
      </c>
      <c r="I1311" s="35">
        <f t="shared" ref="I1311:K1312" si="604">I1312</f>
        <v>19114.608</v>
      </c>
      <c r="J1311" s="35">
        <f t="shared" si="604"/>
        <v>19114.608</v>
      </c>
      <c r="K1311" s="35">
        <f t="shared" si="604"/>
        <v>19114.608</v>
      </c>
      <c r="L1311" s="35">
        <f t="shared" si="581"/>
        <v>53.704787592717466</v>
      </c>
      <c r="M1311" s="35">
        <f t="shared" si="582"/>
        <v>100</v>
      </c>
    </row>
    <row r="1312" spans="1:13">
      <c r="A1312" s="59" t="s">
        <v>72</v>
      </c>
      <c r="B1312" s="28" t="s">
        <v>481</v>
      </c>
      <c r="C1312" s="28" t="s">
        <v>19</v>
      </c>
      <c r="D1312" s="28" t="s">
        <v>93</v>
      </c>
      <c r="E1312" s="29" t="s">
        <v>1161</v>
      </c>
      <c r="F1312" s="28" t="s">
        <v>73</v>
      </c>
      <c r="G1312" s="35"/>
      <c r="H1312" s="35">
        <f>H1313</f>
        <v>35592</v>
      </c>
      <c r="I1312" s="35">
        <f t="shared" si="604"/>
        <v>19114.608</v>
      </c>
      <c r="J1312" s="35">
        <f t="shared" si="604"/>
        <v>19114.608</v>
      </c>
      <c r="K1312" s="35">
        <f t="shared" si="604"/>
        <v>19114.608</v>
      </c>
      <c r="L1312" s="35">
        <f t="shared" si="581"/>
        <v>53.704787592717466</v>
      </c>
      <c r="M1312" s="35">
        <f t="shared" si="582"/>
        <v>100</v>
      </c>
    </row>
    <row r="1313" spans="1:13" ht="51">
      <c r="A1313" s="59" t="s">
        <v>218</v>
      </c>
      <c r="B1313" s="28" t="s">
        <v>481</v>
      </c>
      <c r="C1313" s="28" t="s">
        <v>19</v>
      </c>
      <c r="D1313" s="28" t="s">
        <v>93</v>
      </c>
      <c r="E1313" s="29" t="s">
        <v>1161</v>
      </c>
      <c r="F1313" s="28" t="s">
        <v>219</v>
      </c>
      <c r="G1313" s="35"/>
      <c r="H1313" s="35">
        <v>35592</v>
      </c>
      <c r="I1313" s="35">
        <v>19114.608</v>
      </c>
      <c r="J1313" s="35">
        <v>19114.608</v>
      </c>
      <c r="K1313" s="35">
        <v>19114.608</v>
      </c>
      <c r="L1313" s="35">
        <f t="shared" si="581"/>
        <v>53.704787592717466</v>
      </c>
      <c r="M1313" s="35">
        <f t="shared" si="582"/>
        <v>100</v>
      </c>
    </row>
    <row r="1314" spans="1:13" ht="51">
      <c r="A1314" s="59" t="s">
        <v>506</v>
      </c>
      <c r="B1314" s="28" t="s">
        <v>481</v>
      </c>
      <c r="C1314" s="28" t="s">
        <v>19</v>
      </c>
      <c r="D1314" s="28" t="s">
        <v>93</v>
      </c>
      <c r="E1314" s="28" t="s">
        <v>507</v>
      </c>
      <c r="F1314" s="58" t="s">
        <v>0</v>
      </c>
      <c r="G1314" s="35">
        <f>G1315</f>
        <v>2032.2</v>
      </c>
      <c r="H1314" s="35">
        <f t="shared" ref="H1314:K1315" si="605">H1315</f>
        <v>1829</v>
      </c>
      <c r="I1314" s="35">
        <f t="shared" si="605"/>
        <v>1829</v>
      </c>
      <c r="J1314" s="35">
        <f t="shared" si="605"/>
        <v>1829</v>
      </c>
      <c r="K1314" s="35">
        <f t="shared" si="605"/>
        <v>1829</v>
      </c>
      <c r="L1314" s="35">
        <f t="shared" si="581"/>
        <v>100</v>
      </c>
      <c r="M1314" s="35">
        <f t="shared" si="582"/>
        <v>100</v>
      </c>
    </row>
    <row r="1315" spans="1:13">
      <c r="A1315" s="59" t="s">
        <v>72</v>
      </c>
      <c r="B1315" s="28" t="s">
        <v>481</v>
      </c>
      <c r="C1315" s="28" t="s">
        <v>19</v>
      </c>
      <c r="D1315" s="28" t="s">
        <v>93</v>
      </c>
      <c r="E1315" s="28" t="s">
        <v>507</v>
      </c>
      <c r="F1315" s="28" t="s">
        <v>73</v>
      </c>
      <c r="G1315" s="35">
        <f>G1316</f>
        <v>2032.2</v>
      </c>
      <c r="H1315" s="35">
        <f t="shared" si="605"/>
        <v>1829</v>
      </c>
      <c r="I1315" s="35">
        <f t="shared" si="605"/>
        <v>1829</v>
      </c>
      <c r="J1315" s="35">
        <f t="shared" si="605"/>
        <v>1829</v>
      </c>
      <c r="K1315" s="35">
        <f t="shared" si="605"/>
        <v>1829</v>
      </c>
      <c r="L1315" s="35">
        <f t="shared" ref="L1315:L1378" si="606">K1315/H1315*100</f>
        <v>100</v>
      </c>
      <c r="M1315" s="35">
        <f t="shared" ref="M1315:M1378" si="607">K1315/I1315*100</f>
        <v>100</v>
      </c>
    </row>
    <row r="1316" spans="1:13" ht="51">
      <c r="A1316" s="59" t="s">
        <v>218</v>
      </c>
      <c r="B1316" s="28" t="s">
        <v>481</v>
      </c>
      <c r="C1316" s="28" t="s">
        <v>19</v>
      </c>
      <c r="D1316" s="28" t="s">
        <v>93</v>
      </c>
      <c r="E1316" s="28" t="s">
        <v>507</v>
      </c>
      <c r="F1316" s="28" t="s">
        <v>219</v>
      </c>
      <c r="G1316" s="35">
        <v>2032.2</v>
      </c>
      <c r="H1316" s="35">
        <v>1829</v>
      </c>
      <c r="I1316" s="35">
        <v>1829</v>
      </c>
      <c r="J1316" s="35">
        <v>1829</v>
      </c>
      <c r="K1316" s="35">
        <v>1829</v>
      </c>
      <c r="L1316" s="35">
        <f t="shared" si="606"/>
        <v>100</v>
      </c>
      <c r="M1316" s="35">
        <f t="shared" si="607"/>
        <v>100</v>
      </c>
    </row>
    <row r="1317" spans="1:13" ht="64.5" customHeight="1">
      <c r="A1317" s="59" t="s">
        <v>1165</v>
      </c>
      <c r="B1317" s="28" t="s">
        <v>481</v>
      </c>
      <c r="C1317" s="28" t="s">
        <v>19</v>
      </c>
      <c r="D1317" s="28" t="s">
        <v>93</v>
      </c>
      <c r="E1317" s="29" t="s">
        <v>1164</v>
      </c>
      <c r="F1317" s="28"/>
      <c r="G1317" s="35"/>
      <c r="H1317" s="35">
        <f>H1318</f>
        <v>28013.1</v>
      </c>
      <c r="I1317" s="35">
        <f t="shared" ref="I1317:K1318" si="608">I1318</f>
        <v>20783.330999999998</v>
      </c>
      <c r="J1317" s="35">
        <f t="shared" si="608"/>
        <v>20783.330999999998</v>
      </c>
      <c r="K1317" s="35">
        <f t="shared" si="608"/>
        <v>20783.330999999998</v>
      </c>
      <c r="L1317" s="35">
        <f t="shared" si="606"/>
        <v>74.191471133148411</v>
      </c>
      <c r="M1317" s="35">
        <f t="shared" si="607"/>
        <v>100</v>
      </c>
    </row>
    <row r="1318" spans="1:13">
      <c r="A1318" s="59" t="s">
        <v>72</v>
      </c>
      <c r="B1318" s="28" t="s">
        <v>481</v>
      </c>
      <c r="C1318" s="28" t="s">
        <v>19</v>
      </c>
      <c r="D1318" s="28" t="s">
        <v>93</v>
      </c>
      <c r="E1318" s="29" t="s">
        <v>1164</v>
      </c>
      <c r="F1318" s="28" t="s">
        <v>73</v>
      </c>
      <c r="G1318" s="35"/>
      <c r="H1318" s="35">
        <f>H1319</f>
        <v>28013.1</v>
      </c>
      <c r="I1318" s="35">
        <f t="shared" si="608"/>
        <v>20783.330999999998</v>
      </c>
      <c r="J1318" s="35">
        <f t="shared" si="608"/>
        <v>20783.330999999998</v>
      </c>
      <c r="K1318" s="35">
        <f t="shared" si="608"/>
        <v>20783.330999999998</v>
      </c>
      <c r="L1318" s="35">
        <f t="shared" si="606"/>
        <v>74.191471133148411</v>
      </c>
      <c r="M1318" s="35">
        <f t="shared" si="607"/>
        <v>100</v>
      </c>
    </row>
    <row r="1319" spans="1:13" ht="51">
      <c r="A1319" s="59" t="s">
        <v>218</v>
      </c>
      <c r="B1319" s="28" t="s">
        <v>481</v>
      </c>
      <c r="C1319" s="28" t="s">
        <v>19</v>
      </c>
      <c r="D1319" s="28" t="s">
        <v>93</v>
      </c>
      <c r="E1319" s="29" t="s">
        <v>1164</v>
      </c>
      <c r="F1319" s="28" t="s">
        <v>219</v>
      </c>
      <c r="G1319" s="35"/>
      <c r="H1319" s="35">
        <v>28013.1</v>
      </c>
      <c r="I1319" s="35">
        <v>20783.330999999998</v>
      </c>
      <c r="J1319" s="35">
        <v>20783.330999999998</v>
      </c>
      <c r="K1319" s="35">
        <v>20783.330999999998</v>
      </c>
      <c r="L1319" s="35">
        <f t="shared" si="606"/>
        <v>74.191471133148411</v>
      </c>
      <c r="M1319" s="35">
        <f t="shared" si="607"/>
        <v>100</v>
      </c>
    </row>
    <row r="1320" spans="1:13" ht="48" customHeight="1">
      <c r="A1320" s="59" t="s">
        <v>1168</v>
      </c>
      <c r="B1320" s="28" t="s">
        <v>481</v>
      </c>
      <c r="C1320" s="28" t="s">
        <v>19</v>
      </c>
      <c r="D1320" s="28" t="s">
        <v>93</v>
      </c>
      <c r="E1320" s="29" t="s">
        <v>1166</v>
      </c>
      <c r="F1320" s="28"/>
      <c r="G1320" s="35"/>
      <c r="H1320" s="35">
        <f>H1321</f>
        <v>2764.2</v>
      </c>
      <c r="I1320" s="35">
        <f t="shared" ref="I1320:K1321" si="609">I1321</f>
        <v>1590.05</v>
      </c>
      <c r="J1320" s="35">
        <f t="shared" si="609"/>
        <v>1590.05</v>
      </c>
      <c r="K1320" s="35">
        <f t="shared" si="609"/>
        <v>1590.05</v>
      </c>
      <c r="L1320" s="35">
        <f t="shared" si="606"/>
        <v>57.522972288546413</v>
      </c>
      <c r="M1320" s="35">
        <f t="shared" si="607"/>
        <v>100</v>
      </c>
    </row>
    <row r="1321" spans="1:13">
      <c r="A1321" s="59" t="s">
        <v>72</v>
      </c>
      <c r="B1321" s="28" t="s">
        <v>481</v>
      </c>
      <c r="C1321" s="28" t="s">
        <v>19</v>
      </c>
      <c r="D1321" s="28" t="s">
        <v>93</v>
      </c>
      <c r="E1321" s="29" t="s">
        <v>1166</v>
      </c>
      <c r="F1321" s="28" t="s">
        <v>73</v>
      </c>
      <c r="G1321" s="35"/>
      <c r="H1321" s="35">
        <f>H1322</f>
        <v>2764.2</v>
      </c>
      <c r="I1321" s="35">
        <f t="shared" si="609"/>
        <v>1590.05</v>
      </c>
      <c r="J1321" s="35">
        <f t="shared" si="609"/>
        <v>1590.05</v>
      </c>
      <c r="K1321" s="35">
        <f t="shared" si="609"/>
        <v>1590.05</v>
      </c>
      <c r="L1321" s="35">
        <f t="shared" si="606"/>
        <v>57.522972288546413</v>
      </c>
      <c r="M1321" s="35">
        <f t="shared" si="607"/>
        <v>100</v>
      </c>
    </row>
    <row r="1322" spans="1:13" ht="51">
      <c r="A1322" s="59" t="s">
        <v>218</v>
      </c>
      <c r="B1322" s="28" t="s">
        <v>481</v>
      </c>
      <c r="C1322" s="28" t="s">
        <v>19</v>
      </c>
      <c r="D1322" s="28" t="s">
        <v>93</v>
      </c>
      <c r="E1322" s="29" t="s">
        <v>1166</v>
      </c>
      <c r="F1322" s="28" t="s">
        <v>219</v>
      </c>
      <c r="G1322" s="35"/>
      <c r="H1322" s="35">
        <v>2764.2</v>
      </c>
      <c r="I1322" s="35">
        <v>1590.05</v>
      </c>
      <c r="J1322" s="35">
        <v>1590.05</v>
      </c>
      <c r="K1322" s="35">
        <v>1590.05</v>
      </c>
      <c r="L1322" s="35">
        <f t="shared" si="606"/>
        <v>57.522972288546413</v>
      </c>
      <c r="M1322" s="35">
        <f t="shared" si="607"/>
        <v>100</v>
      </c>
    </row>
    <row r="1323" spans="1:13" ht="52.5" customHeight="1">
      <c r="A1323" s="59" t="s">
        <v>1169</v>
      </c>
      <c r="B1323" s="28" t="s">
        <v>481</v>
      </c>
      <c r="C1323" s="28" t="s">
        <v>19</v>
      </c>
      <c r="D1323" s="28" t="s">
        <v>93</v>
      </c>
      <c r="E1323" s="29" t="s">
        <v>1167</v>
      </c>
      <c r="F1323" s="28"/>
      <c r="G1323" s="35"/>
      <c r="H1323" s="35">
        <f>H1324</f>
        <v>22555</v>
      </c>
      <c r="I1323" s="35">
        <f t="shared" ref="I1323:K1324" si="610">I1324</f>
        <v>19978.722709999998</v>
      </c>
      <c r="J1323" s="35">
        <f t="shared" si="610"/>
        <v>19978.722709999998</v>
      </c>
      <c r="K1323" s="35">
        <f t="shared" si="610"/>
        <v>19978.722709999998</v>
      </c>
      <c r="L1323" s="35">
        <f t="shared" si="606"/>
        <v>88.577799645311444</v>
      </c>
      <c r="M1323" s="35">
        <f t="shared" si="607"/>
        <v>100</v>
      </c>
    </row>
    <row r="1324" spans="1:13">
      <c r="A1324" s="59" t="s">
        <v>72</v>
      </c>
      <c r="B1324" s="28" t="s">
        <v>481</v>
      </c>
      <c r="C1324" s="28" t="s">
        <v>19</v>
      </c>
      <c r="D1324" s="28" t="s">
        <v>93</v>
      </c>
      <c r="E1324" s="29" t="s">
        <v>1167</v>
      </c>
      <c r="F1324" s="28" t="s">
        <v>73</v>
      </c>
      <c r="G1324" s="35"/>
      <c r="H1324" s="35">
        <f>H1325</f>
        <v>22555</v>
      </c>
      <c r="I1324" s="35">
        <f t="shared" si="610"/>
        <v>19978.722709999998</v>
      </c>
      <c r="J1324" s="35">
        <f t="shared" si="610"/>
        <v>19978.722709999998</v>
      </c>
      <c r="K1324" s="35">
        <f t="shared" si="610"/>
        <v>19978.722709999998</v>
      </c>
      <c r="L1324" s="35">
        <f t="shared" si="606"/>
        <v>88.577799645311444</v>
      </c>
      <c r="M1324" s="35">
        <f t="shared" si="607"/>
        <v>100</v>
      </c>
    </row>
    <row r="1325" spans="1:13" ht="51">
      <c r="A1325" s="59" t="s">
        <v>218</v>
      </c>
      <c r="B1325" s="28" t="s">
        <v>481</v>
      </c>
      <c r="C1325" s="28" t="s">
        <v>19</v>
      </c>
      <c r="D1325" s="28" t="s">
        <v>93</v>
      </c>
      <c r="E1325" s="29" t="s">
        <v>1167</v>
      </c>
      <c r="F1325" s="28" t="s">
        <v>219</v>
      </c>
      <c r="G1325" s="35"/>
      <c r="H1325" s="35">
        <v>22555</v>
      </c>
      <c r="I1325" s="35">
        <v>19978.722709999998</v>
      </c>
      <c r="J1325" s="35">
        <v>19978.722709999998</v>
      </c>
      <c r="K1325" s="35">
        <v>19978.722709999998</v>
      </c>
      <c r="L1325" s="35">
        <f t="shared" si="606"/>
        <v>88.577799645311444</v>
      </c>
      <c r="M1325" s="35">
        <f t="shared" si="607"/>
        <v>100</v>
      </c>
    </row>
    <row r="1326" spans="1:13" ht="25.5">
      <c r="A1326" s="59" t="s">
        <v>508</v>
      </c>
      <c r="B1326" s="28" t="s">
        <v>481</v>
      </c>
      <c r="C1326" s="28" t="s">
        <v>19</v>
      </c>
      <c r="D1326" s="28" t="s">
        <v>93</v>
      </c>
      <c r="E1326" s="28" t="s">
        <v>509</v>
      </c>
      <c r="F1326" s="58" t="s">
        <v>0</v>
      </c>
      <c r="G1326" s="35">
        <f>G1327</f>
        <v>29860.3</v>
      </c>
      <c r="H1326" s="35">
        <f t="shared" ref="H1326:K1327" si="611">H1327</f>
        <v>27012</v>
      </c>
      <c r="I1326" s="35">
        <f t="shared" si="611"/>
        <v>25818.41</v>
      </c>
      <c r="J1326" s="35">
        <f t="shared" si="611"/>
        <v>25818.41</v>
      </c>
      <c r="K1326" s="35">
        <f t="shared" si="611"/>
        <v>25818.41</v>
      </c>
      <c r="L1326" s="35">
        <f t="shared" si="606"/>
        <v>95.58126018066045</v>
      </c>
      <c r="M1326" s="35">
        <f t="shared" si="607"/>
        <v>100</v>
      </c>
    </row>
    <row r="1327" spans="1:13">
      <c r="A1327" s="59" t="s">
        <v>72</v>
      </c>
      <c r="B1327" s="28" t="s">
        <v>481</v>
      </c>
      <c r="C1327" s="28" t="s">
        <v>19</v>
      </c>
      <c r="D1327" s="28" t="s">
        <v>93</v>
      </c>
      <c r="E1327" s="28" t="s">
        <v>509</v>
      </c>
      <c r="F1327" s="28" t="s">
        <v>73</v>
      </c>
      <c r="G1327" s="35">
        <f>G1328</f>
        <v>29860.3</v>
      </c>
      <c r="H1327" s="35">
        <f t="shared" si="611"/>
        <v>27012</v>
      </c>
      <c r="I1327" s="35">
        <f t="shared" si="611"/>
        <v>25818.41</v>
      </c>
      <c r="J1327" s="35">
        <f t="shared" si="611"/>
        <v>25818.41</v>
      </c>
      <c r="K1327" s="35">
        <f t="shared" si="611"/>
        <v>25818.41</v>
      </c>
      <c r="L1327" s="35">
        <f t="shared" si="606"/>
        <v>95.58126018066045</v>
      </c>
      <c r="M1327" s="35">
        <f t="shared" si="607"/>
        <v>100</v>
      </c>
    </row>
    <row r="1328" spans="1:13" ht="51">
      <c r="A1328" s="59" t="s">
        <v>218</v>
      </c>
      <c r="B1328" s="28" t="s">
        <v>481</v>
      </c>
      <c r="C1328" s="28" t="s">
        <v>19</v>
      </c>
      <c r="D1328" s="28" t="s">
        <v>93</v>
      </c>
      <c r="E1328" s="28" t="s">
        <v>509</v>
      </c>
      <c r="F1328" s="28" t="s">
        <v>219</v>
      </c>
      <c r="G1328" s="35">
        <v>29860.3</v>
      </c>
      <c r="H1328" s="35">
        <v>27012</v>
      </c>
      <c r="I1328" s="35">
        <v>25818.41</v>
      </c>
      <c r="J1328" s="35">
        <v>25818.41</v>
      </c>
      <c r="K1328" s="35">
        <v>25818.41</v>
      </c>
      <c r="L1328" s="35">
        <f t="shared" si="606"/>
        <v>95.58126018066045</v>
      </c>
      <c r="M1328" s="35">
        <f t="shared" si="607"/>
        <v>100</v>
      </c>
    </row>
    <row r="1329" spans="1:13" ht="62.25" customHeight="1">
      <c r="A1329" s="59" t="s">
        <v>1171</v>
      </c>
      <c r="B1329" s="28" t="s">
        <v>481</v>
      </c>
      <c r="C1329" s="28" t="s">
        <v>19</v>
      </c>
      <c r="D1329" s="28" t="s">
        <v>93</v>
      </c>
      <c r="E1329" s="29" t="s">
        <v>1170</v>
      </c>
      <c r="F1329" s="58" t="s">
        <v>0</v>
      </c>
      <c r="G1329" s="35"/>
      <c r="H1329" s="35">
        <f>H1330</f>
        <v>5510.5</v>
      </c>
      <c r="I1329" s="35">
        <f t="shared" ref="I1329:K1330" si="612">I1330</f>
        <v>3117.569</v>
      </c>
      <c r="J1329" s="35">
        <f t="shared" si="612"/>
        <v>3117.569</v>
      </c>
      <c r="K1329" s="35">
        <f t="shared" si="612"/>
        <v>3117.569</v>
      </c>
      <c r="L1329" s="35">
        <f t="shared" si="606"/>
        <v>56.575065783504222</v>
      </c>
      <c r="M1329" s="35">
        <f t="shared" si="607"/>
        <v>100</v>
      </c>
    </row>
    <row r="1330" spans="1:13">
      <c r="A1330" s="59" t="s">
        <v>72</v>
      </c>
      <c r="B1330" s="28" t="s">
        <v>481</v>
      </c>
      <c r="C1330" s="28" t="s">
        <v>19</v>
      </c>
      <c r="D1330" s="28" t="s">
        <v>93</v>
      </c>
      <c r="E1330" s="29" t="s">
        <v>1170</v>
      </c>
      <c r="F1330" s="28" t="s">
        <v>73</v>
      </c>
      <c r="G1330" s="35"/>
      <c r="H1330" s="35">
        <f>H1331</f>
        <v>5510.5</v>
      </c>
      <c r="I1330" s="35">
        <f t="shared" si="612"/>
        <v>3117.569</v>
      </c>
      <c r="J1330" s="35">
        <f t="shared" si="612"/>
        <v>3117.569</v>
      </c>
      <c r="K1330" s="35">
        <f t="shared" si="612"/>
        <v>3117.569</v>
      </c>
      <c r="L1330" s="35">
        <f t="shared" si="606"/>
        <v>56.575065783504222</v>
      </c>
      <c r="M1330" s="35">
        <f t="shared" si="607"/>
        <v>100</v>
      </c>
    </row>
    <row r="1331" spans="1:13" ht="51">
      <c r="A1331" s="59" t="s">
        <v>218</v>
      </c>
      <c r="B1331" s="28" t="s">
        <v>481</v>
      </c>
      <c r="C1331" s="28" t="s">
        <v>19</v>
      </c>
      <c r="D1331" s="28" t="s">
        <v>93</v>
      </c>
      <c r="E1331" s="29" t="s">
        <v>1170</v>
      </c>
      <c r="F1331" s="28" t="s">
        <v>219</v>
      </c>
      <c r="G1331" s="35"/>
      <c r="H1331" s="35">
        <v>5510.5</v>
      </c>
      <c r="I1331" s="35">
        <v>3117.569</v>
      </c>
      <c r="J1331" s="35">
        <v>3117.569</v>
      </c>
      <c r="K1331" s="35">
        <v>3117.569</v>
      </c>
      <c r="L1331" s="35">
        <f t="shared" si="606"/>
        <v>56.575065783504222</v>
      </c>
      <c r="M1331" s="35">
        <f t="shared" si="607"/>
        <v>100</v>
      </c>
    </row>
    <row r="1332" spans="1:13" ht="82.5" customHeight="1">
      <c r="A1332" s="59" t="s">
        <v>1173</v>
      </c>
      <c r="B1332" s="28" t="s">
        <v>481</v>
      </c>
      <c r="C1332" s="28" t="s">
        <v>19</v>
      </c>
      <c r="D1332" s="28" t="s">
        <v>93</v>
      </c>
      <c r="E1332" s="29" t="s">
        <v>1172</v>
      </c>
      <c r="F1332" s="28"/>
      <c r="G1332" s="35"/>
      <c r="H1332" s="35">
        <f>H1333</f>
        <v>5693.92</v>
      </c>
      <c r="I1332" s="35">
        <f t="shared" ref="I1332:K1333" si="613">I1333</f>
        <v>5693.92</v>
      </c>
      <c r="J1332" s="35">
        <f t="shared" si="613"/>
        <v>5693.92</v>
      </c>
      <c r="K1332" s="35">
        <f t="shared" si="613"/>
        <v>5693.92</v>
      </c>
      <c r="L1332" s="35">
        <f t="shared" si="606"/>
        <v>100</v>
      </c>
      <c r="M1332" s="35">
        <f t="shared" si="607"/>
        <v>100</v>
      </c>
    </row>
    <row r="1333" spans="1:13">
      <c r="A1333" s="59" t="s">
        <v>72</v>
      </c>
      <c r="B1333" s="28" t="s">
        <v>481</v>
      </c>
      <c r="C1333" s="28" t="s">
        <v>19</v>
      </c>
      <c r="D1333" s="28" t="s">
        <v>93</v>
      </c>
      <c r="E1333" s="29" t="s">
        <v>1172</v>
      </c>
      <c r="F1333" s="28">
        <v>800</v>
      </c>
      <c r="G1333" s="35"/>
      <c r="H1333" s="35">
        <f>H1334</f>
        <v>5693.92</v>
      </c>
      <c r="I1333" s="35">
        <f t="shared" si="613"/>
        <v>5693.92</v>
      </c>
      <c r="J1333" s="35">
        <f t="shared" si="613"/>
        <v>5693.92</v>
      </c>
      <c r="K1333" s="35">
        <f t="shared" si="613"/>
        <v>5693.92</v>
      </c>
      <c r="L1333" s="35">
        <f t="shared" si="606"/>
        <v>100</v>
      </c>
      <c r="M1333" s="35">
        <f t="shared" si="607"/>
        <v>100</v>
      </c>
    </row>
    <row r="1334" spans="1:13">
      <c r="A1334" s="59" t="s">
        <v>74</v>
      </c>
      <c r="B1334" s="28" t="s">
        <v>481</v>
      </c>
      <c r="C1334" s="28" t="s">
        <v>19</v>
      </c>
      <c r="D1334" s="28" t="s">
        <v>93</v>
      </c>
      <c r="E1334" s="29" t="s">
        <v>1172</v>
      </c>
      <c r="F1334" s="28">
        <v>850</v>
      </c>
      <c r="G1334" s="35"/>
      <c r="H1334" s="35">
        <v>5693.92</v>
      </c>
      <c r="I1334" s="35">
        <v>5693.92</v>
      </c>
      <c r="J1334" s="35">
        <v>5693.92</v>
      </c>
      <c r="K1334" s="35">
        <v>5693.92</v>
      </c>
      <c r="L1334" s="35">
        <f t="shared" si="606"/>
        <v>100</v>
      </c>
      <c r="M1334" s="35">
        <f t="shared" si="607"/>
        <v>100</v>
      </c>
    </row>
    <row r="1335" spans="1:13">
      <c r="A1335" s="59" t="s">
        <v>510</v>
      </c>
      <c r="B1335" s="28" t="s">
        <v>481</v>
      </c>
      <c r="C1335" s="28" t="s">
        <v>19</v>
      </c>
      <c r="D1335" s="28" t="s">
        <v>93</v>
      </c>
      <c r="E1335" s="28" t="s">
        <v>511</v>
      </c>
      <c r="F1335" s="58" t="s">
        <v>0</v>
      </c>
      <c r="G1335" s="35">
        <f>G1336</f>
        <v>12000</v>
      </c>
      <c r="H1335" s="35">
        <f t="shared" ref="H1335:K1336" si="614">H1336</f>
        <v>12000</v>
      </c>
      <c r="I1335" s="35">
        <f t="shared" si="614"/>
        <v>12000</v>
      </c>
      <c r="J1335" s="35">
        <f t="shared" si="614"/>
        <v>12000</v>
      </c>
      <c r="K1335" s="35">
        <f t="shared" si="614"/>
        <v>12000</v>
      </c>
      <c r="L1335" s="35">
        <f t="shared" si="606"/>
        <v>100</v>
      </c>
      <c r="M1335" s="35">
        <f t="shared" si="607"/>
        <v>100</v>
      </c>
    </row>
    <row r="1336" spans="1:13">
      <c r="A1336" s="59" t="s">
        <v>72</v>
      </c>
      <c r="B1336" s="28" t="s">
        <v>481</v>
      </c>
      <c r="C1336" s="28" t="s">
        <v>19</v>
      </c>
      <c r="D1336" s="28" t="s">
        <v>93</v>
      </c>
      <c r="E1336" s="28" t="s">
        <v>511</v>
      </c>
      <c r="F1336" s="28" t="s">
        <v>73</v>
      </c>
      <c r="G1336" s="35">
        <f>G1337</f>
        <v>12000</v>
      </c>
      <c r="H1336" s="35">
        <f t="shared" si="614"/>
        <v>12000</v>
      </c>
      <c r="I1336" s="35">
        <f t="shared" si="614"/>
        <v>12000</v>
      </c>
      <c r="J1336" s="35">
        <f t="shared" si="614"/>
        <v>12000</v>
      </c>
      <c r="K1336" s="35">
        <f t="shared" si="614"/>
        <v>12000</v>
      </c>
      <c r="L1336" s="35">
        <f t="shared" si="606"/>
        <v>100</v>
      </c>
      <c r="M1336" s="35">
        <f t="shared" si="607"/>
        <v>100</v>
      </c>
    </row>
    <row r="1337" spans="1:13" ht="51">
      <c r="A1337" s="59" t="s">
        <v>218</v>
      </c>
      <c r="B1337" s="28" t="s">
        <v>481</v>
      </c>
      <c r="C1337" s="28" t="s">
        <v>19</v>
      </c>
      <c r="D1337" s="28" t="s">
        <v>93</v>
      </c>
      <c r="E1337" s="28" t="s">
        <v>511</v>
      </c>
      <c r="F1337" s="28" t="s">
        <v>219</v>
      </c>
      <c r="G1337" s="35">
        <v>12000</v>
      </c>
      <c r="H1337" s="35">
        <v>12000</v>
      </c>
      <c r="I1337" s="35">
        <v>12000</v>
      </c>
      <c r="J1337" s="35">
        <v>12000</v>
      </c>
      <c r="K1337" s="35">
        <v>12000</v>
      </c>
      <c r="L1337" s="35">
        <f t="shared" si="606"/>
        <v>100</v>
      </c>
      <c r="M1337" s="35">
        <f t="shared" si="607"/>
        <v>100</v>
      </c>
    </row>
    <row r="1338" spans="1:13" ht="25.5">
      <c r="A1338" s="59" t="s">
        <v>512</v>
      </c>
      <c r="B1338" s="28" t="s">
        <v>481</v>
      </c>
      <c r="C1338" s="28" t="s">
        <v>19</v>
      </c>
      <c r="D1338" s="28" t="s">
        <v>93</v>
      </c>
      <c r="E1338" s="28" t="s">
        <v>513</v>
      </c>
      <c r="F1338" s="58" t="s">
        <v>0</v>
      </c>
      <c r="G1338" s="35">
        <f>G1339+G1341</f>
        <v>5859.2</v>
      </c>
      <c r="H1338" s="35">
        <f t="shared" ref="H1338:K1338" si="615">H1339+H1341</f>
        <v>5859.2</v>
      </c>
      <c r="I1338" s="35">
        <f t="shared" si="615"/>
        <v>3647.23081</v>
      </c>
      <c r="J1338" s="35">
        <f t="shared" si="615"/>
        <v>3591.1103300000004</v>
      </c>
      <c r="K1338" s="35">
        <f t="shared" si="615"/>
        <v>3591.1103300000004</v>
      </c>
      <c r="L1338" s="35">
        <f t="shared" si="606"/>
        <v>61.290113496723109</v>
      </c>
      <c r="M1338" s="35">
        <f t="shared" si="607"/>
        <v>98.461285207228229</v>
      </c>
    </row>
    <row r="1339" spans="1:13" ht="25.5">
      <c r="A1339" s="59" t="s">
        <v>64</v>
      </c>
      <c r="B1339" s="28" t="s">
        <v>481</v>
      </c>
      <c r="C1339" s="28" t="s">
        <v>19</v>
      </c>
      <c r="D1339" s="28" t="s">
        <v>93</v>
      </c>
      <c r="E1339" s="28" t="s">
        <v>513</v>
      </c>
      <c r="F1339" s="28" t="s">
        <v>65</v>
      </c>
      <c r="G1339" s="35">
        <f>G1340</f>
        <v>1700</v>
      </c>
      <c r="H1339" s="35">
        <f t="shared" ref="H1339:K1339" si="616">H1340</f>
        <v>1700</v>
      </c>
      <c r="I1339" s="35">
        <f t="shared" si="616"/>
        <v>1262.6780000000001</v>
      </c>
      <c r="J1339" s="35">
        <f t="shared" si="616"/>
        <v>1262.6780000000001</v>
      </c>
      <c r="K1339" s="35">
        <f t="shared" si="616"/>
        <v>1262.6780000000001</v>
      </c>
      <c r="L1339" s="35">
        <f t="shared" si="606"/>
        <v>74.275176470588249</v>
      </c>
      <c r="M1339" s="35">
        <f t="shared" si="607"/>
        <v>100</v>
      </c>
    </row>
    <row r="1340" spans="1:13" ht="25.5">
      <c r="A1340" s="59" t="s">
        <v>66</v>
      </c>
      <c r="B1340" s="28" t="s">
        <v>481</v>
      </c>
      <c r="C1340" s="28" t="s">
        <v>19</v>
      </c>
      <c r="D1340" s="28" t="s">
        <v>93</v>
      </c>
      <c r="E1340" s="28" t="s">
        <v>513</v>
      </c>
      <c r="F1340" s="28" t="s">
        <v>67</v>
      </c>
      <c r="G1340" s="35">
        <v>1700</v>
      </c>
      <c r="H1340" s="35">
        <f>425.1+1274.9</f>
        <v>1700</v>
      </c>
      <c r="I1340" s="35">
        <v>1262.6780000000001</v>
      </c>
      <c r="J1340" s="35">
        <v>1262.6780000000001</v>
      </c>
      <c r="K1340" s="35">
        <v>1262.6780000000001</v>
      </c>
      <c r="L1340" s="35">
        <f t="shared" si="606"/>
        <v>74.275176470588249</v>
      </c>
      <c r="M1340" s="35">
        <f t="shared" si="607"/>
        <v>100</v>
      </c>
    </row>
    <row r="1341" spans="1:13">
      <c r="A1341" s="59" t="s">
        <v>72</v>
      </c>
      <c r="B1341" s="28" t="s">
        <v>481</v>
      </c>
      <c r="C1341" s="28" t="s">
        <v>19</v>
      </c>
      <c r="D1341" s="28" t="s">
        <v>93</v>
      </c>
      <c r="E1341" s="28" t="s">
        <v>513</v>
      </c>
      <c r="F1341" s="28" t="s">
        <v>73</v>
      </c>
      <c r="G1341" s="35">
        <f>G1342</f>
        <v>4159.2</v>
      </c>
      <c r="H1341" s="35">
        <f t="shared" ref="H1341:K1341" si="617">H1342</f>
        <v>4159.2</v>
      </c>
      <c r="I1341" s="35">
        <f t="shared" si="617"/>
        <v>2384.5528100000001</v>
      </c>
      <c r="J1341" s="35">
        <f t="shared" si="617"/>
        <v>2328.4323300000001</v>
      </c>
      <c r="K1341" s="35">
        <f t="shared" si="617"/>
        <v>2328.4323300000001</v>
      </c>
      <c r="L1341" s="35">
        <f t="shared" si="606"/>
        <v>55.982696912867866</v>
      </c>
      <c r="M1341" s="35">
        <f t="shared" si="607"/>
        <v>97.646498757978861</v>
      </c>
    </row>
    <row r="1342" spans="1:13" ht="51">
      <c r="A1342" s="59" t="s">
        <v>218</v>
      </c>
      <c r="B1342" s="28" t="s">
        <v>481</v>
      </c>
      <c r="C1342" s="28" t="s">
        <v>19</v>
      </c>
      <c r="D1342" s="28" t="s">
        <v>93</v>
      </c>
      <c r="E1342" s="28" t="s">
        <v>513</v>
      </c>
      <c r="F1342" s="28" t="s">
        <v>219</v>
      </c>
      <c r="G1342" s="35">
        <v>4159.2</v>
      </c>
      <c r="H1342" s="35">
        <v>4159.2</v>
      </c>
      <c r="I1342" s="35">
        <v>2384.5528100000001</v>
      </c>
      <c r="J1342" s="35">
        <v>2328.4323300000001</v>
      </c>
      <c r="K1342" s="35">
        <v>2328.4323300000001</v>
      </c>
      <c r="L1342" s="35">
        <f t="shared" si="606"/>
        <v>55.982696912867866</v>
      </c>
      <c r="M1342" s="35">
        <f t="shared" si="607"/>
        <v>97.646498757978861</v>
      </c>
    </row>
    <row r="1343" spans="1:13" ht="25.5">
      <c r="A1343" s="59" t="s">
        <v>514</v>
      </c>
      <c r="B1343" s="28" t="s">
        <v>481</v>
      </c>
      <c r="C1343" s="28" t="s">
        <v>19</v>
      </c>
      <c r="D1343" s="28" t="s">
        <v>93</v>
      </c>
      <c r="E1343" s="28" t="s">
        <v>515</v>
      </c>
      <c r="F1343" s="58" t="s">
        <v>0</v>
      </c>
      <c r="G1343" s="35">
        <f>G1344</f>
        <v>5000</v>
      </c>
      <c r="H1343" s="35">
        <f t="shared" ref="H1343:K1344" si="618">H1344</f>
        <v>5000</v>
      </c>
      <c r="I1343" s="35">
        <f t="shared" si="618"/>
        <v>482.04820999999998</v>
      </c>
      <c r="J1343" s="35">
        <f t="shared" si="618"/>
        <v>482.04820999999998</v>
      </c>
      <c r="K1343" s="35">
        <f t="shared" si="618"/>
        <v>482.04820999999998</v>
      </c>
      <c r="L1343" s="35">
        <f t="shared" si="606"/>
        <v>9.6409641999999991</v>
      </c>
      <c r="M1343" s="35">
        <f t="shared" si="607"/>
        <v>100</v>
      </c>
    </row>
    <row r="1344" spans="1:13">
      <c r="A1344" s="59" t="s">
        <v>72</v>
      </c>
      <c r="B1344" s="28" t="s">
        <v>481</v>
      </c>
      <c r="C1344" s="28" t="s">
        <v>19</v>
      </c>
      <c r="D1344" s="28" t="s">
        <v>93</v>
      </c>
      <c r="E1344" s="28" t="s">
        <v>515</v>
      </c>
      <c r="F1344" s="28" t="s">
        <v>73</v>
      </c>
      <c r="G1344" s="35">
        <f>G1345</f>
        <v>5000</v>
      </c>
      <c r="H1344" s="35">
        <f t="shared" si="618"/>
        <v>5000</v>
      </c>
      <c r="I1344" s="35">
        <f t="shared" si="618"/>
        <v>482.04820999999998</v>
      </c>
      <c r="J1344" s="35">
        <f t="shared" si="618"/>
        <v>482.04820999999998</v>
      </c>
      <c r="K1344" s="35">
        <f t="shared" si="618"/>
        <v>482.04820999999998</v>
      </c>
      <c r="L1344" s="35">
        <f t="shared" si="606"/>
        <v>9.6409641999999991</v>
      </c>
      <c r="M1344" s="35">
        <f t="shared" si="607"/>
        <v>100</v>
      </c>
    </row>
    <row r="1345" spans="1:13" ht="51">
      <c r="A1345" s="59" t="s">
        <v>218</v>
      </c>
      <c r="B1345" s="28" t="s">
        <v>481</v>
      </c>
      <c r="C1345" s="28" t="s">
        <v>19</v>
      </c>
      <c r="D1345" s="28" t="s">
        <v>93</v>
      </c>
      <c r="E1345" s="28" t="s">
        <v>515</v>
      </c>
      <c r="F1345" s="28" t="s">
        <v>219</v>
      </c>
      <c r="G1345" s="35">
        <v>5000</v>
      </c>
      <c r="H1345" s="35">
        <v>5000</v>
      </c>
      <c r="I1345" s="35">
        <v>482.04820999999998</v>
      </c>
      <c r="J1345" s="35">
        <v>482.04820999999998</v>
      </c>
      <c r="K1345" s="35">
        <v>482.04820999999998</v>
      </c>
      <c r="L1345" s="35">
        <f t="shared" si="606"/>
        <v>9.6409641999999991</v>
      </c>
      <c r="M1345" s="35">
        <f t="shared" si="607"/>
        <v>100</v>
      </c>
    </row>
    <row r="1346" spans="1:13" ht="25.5">
      <c r="A1346" s="59" t="s">
        <v>516</v>
      </c>
      <c r="B1346" s="28" t="s">
        <v>481</v>
      </c>
      <c r="C1346" s="28" t="s">
        <v>19</v>
      </c>
      <c r="D1346" s="28" t="s">
        <v>93</v>
      </c>
      <c r="E1346" s="28" t="s">
        <v>517</v>
      </c>
      <c r="F1346" s="58" t="s">
        <v>0</v>
      </c>
      <c r="G1346" s="35">
        <f>G1347</f>
        <v>10750</v>
      </c>
      <c r="H1346" s="35">
        <f t="shared" ref="H1346:K1347" si="619">H1347</f>
        <v>10750</v>
      </c>
      <c r="I1346" s="35">
        <f t="shared" si="619"/>
        <v>10750</v>
      </c>
      <c r="J1346" s="35">
        <f t="shared" si="619"/>
        <v>10750</v>
      </c>
      <c r="K1346" s="35">
        <f t="shared" si="619"/>
        <v>10750</v>
      </c>
      <c r="L1346" s="35">
        <f t="shared" si="606"/>
        <v>100</v>
      </c>
      <c r="M1346" s="35">
        <f t="shared" si="607"/>
        <v>100</v>
      </c>
    </row>
    <row r="1347" spans="1:13">
      <c r="A1347" s="59" t="s">
        <v>72</v>
      </c>
      <c r="B1347" s="28" t="s">
        <v>481</v>
      </c>
      <c r="C1347" s="28" t="s">
        <v>19</v>
      </c>
      <c r="D1347" s="28" t="s">
        <v>93</v>
      </c>
      <c r="E1347" s="28" t="s">
        <v>517</v>
      </c>
      <c r="F1347" s="28" t="s">
        <v>73</v>
      </c>
      <c r="G1347" s="35">
        <f>G1348</f>
        <v>10750</v>
      </c>
      <c r="H1347" s="35">
        <f t="shared" si="619"/>
        <v>10750</v>
      </c>
      <c r="I1347" s="35">
        <f t="shared" si="619"/>
        <v>10750</v>
      </c>
      <c r="J1347" s="35">
        <f t="shared" si="619"/>
        <v>10750</v>
      </c>
      <c r="K1347" s="35">
        <f t="shared" si="619"/>
        <v>10750</v>
      </c>
      <c r="L1347" s="35">
        <f t="shared" si="606"/>
        <v>100</v>
      </c>
      <c r="M1347" s="35">
        <f t="shared" si="607"/>
        <v>100</v>
      </c>
    </row>
    <row r="1348" spans="1:13" ht="51">
      <c r="A1348" s="59" t="s">
        <v>218</v>
      </c>
      <c r="B1348" s="28" t="s">
        <v>481</v>
      </c>
      <c r="C1348" s="28" t="s">
        <v>19</v>
      </c>
      <c r="D1348" s="28" t="s">
        <v>93</v>
      </c>
      <c r="E1348" s="28" t="s">
        <v>517</v>
      </c>
      <c r="F1348" s="28" t="s">
        <v>219</v>
      </c>
      <c r="G1348" s="35">
        <v>10750</v>
      </c>
      <c r="H1348" s="35">
        <v>10750</v>
      </c>
      <c r="I1348" s="35">
        <v>10750</v>
      </c>
      <c r="J1348" s="35">
        <v>10750</v>
      </c>
      <c r="K1348" s="35">
        <v>10750</v>
      </c>
      <c r="L1348" s="35">
        <f t="shared" si="606"/>
        <v>100</v>
      </c>
      <c r="M1348" s="35">
        <f t="shared" si="607"/>
        <v>100</v>
      </c>
    </row>
    <row r="1349" spans="1:13" ht="38.25">
      <c r="A1349" s="59" t="s">
        <v>518</v>
      </c>
      <c r="B1349" s="28" t="s">
        <v>481</v>
      </c>
      <c r="C1349" s="28" t="s">
        <v>19</v>
      </c>
      <c r="D1349" s="28" t="s">
        <v>93</v>
      </c>
      <c r="E1349" s="28" t="s">
        <v>519</v>
      </c>
      <c r="F1349" s="58" t="s">
        <v>0</v>
      </c>
      <c r="G1349" s="35">
        <f>G1350</f>
        <v>9500</v>
      </c>
      <c r="H1349" s="35">
        <f t="shared" ref="H1349:K1350" si="620">H1350</f>
        <v>9500</v>
      </c>
      <c r="I1349" s="35">
        <f t="shared" si="620"/>
        <v>7224.1102700000001</v>
      </c>
      <c r="J1349" s="35">
        <f t="shared" si="620"/>
        <v>7224.1102700000001</v>
      </c>
      <c r="K1349" s="35">
        <f t="shared" si="620"/>
        <v>7224.1102700000001</v>
      </c>
      <c r="L1349" s="35">
        <f t="shared" si="606"/>
        <v>76.043266000000003</v>
      </c>
      <c r="M1349" s="35">
        <f t="shared" si="607"/>
        <v>100</v>
      </c>
    </row>
    <row r="1350" spans="1:13">
      <c r="A1350" s="59" t="s">
        <v>72</v>
      </c>
      <c r="B1350" s="28" t="s">
        <v>481</v>
      </c>
      <c r="C1350" s="28" t="s">
        <v>19</v>
      </c>
      <c r="D1350" s="28" t="s">
        <v>93</v>
      </c>
      <c r="E1350" s="28" t="s">
        <v>519</v>
      </c>
      <c r="F1350" s="28" t="s">
        <v>73</v>
      </c>
      <c r="G1350" s="35">
        <f>G1351</f>
        <v>9500</v>
      </c>
      <c r="H1350" s="35">
        <f t="shared" si="620"/>
        <v>9500</v>
      </c>
      <c r="I1350" s="35">
        <f t="shared" si="620"/>
        <v>7224.1102700000001</v>
      </c>
      <c r="J1350" s="35">
        <f t="shared" si="620"/>
        <v>7224.1102700000001</v>
      </c>
      <c r="K1350" s="35">
        <f t="shared" si="620"/>
        <v>7224.1102700000001</v>
      </c>
      <c r="L1350" s="35">
        <f t="shared" si="606"/>
        <v>76.043266000000003</v>
      </c>
      <c r="M1350" s="35">
        <f t="shared" si="607"/>
        <v>100</v>
      </c>
    </row>
    <row r="1351" spans="1:13" ht="51">
      <c r="A1351" s="59" t="s">
        <v>218</v>
      </c>
      <c r="B1351" s="28" t="s">
        <v>481</v>
      </c>
      <c r="C1351" s="28" t="s">
        <v>19</v>
      </c>
      <c r="D1351" s="28" t="s">
        <v>93</v>
      </c>
      <c r="E1351" s="28" t="s">
        <v>519</v>
      </c>
      <c r="F1351" s="28" t="s">
        <v>219</v>
      </c>
      <c r="G1351" s="35">
        <v>9500</v>
      </c>
      <c r="H1351" s="35">
        <v>9500</v>
      </c>
      <c r="I1351" s="35">
        <v>7224.1102700000001</v>
      </c>
      <c r="J1351" s="35">
        <v>7224.1102700000001</v>
      </c>
      <c r="K1351" s="35">
        <v>7224.1102700000001</v>
      </c>
      <c r="L1351" s="35">
        <f t="shared" si="606"/>
        <v>76.043266000000003</v>
      </c>
      <c r="M1351" s="35">
        <f t="shared" si="607"/>
        <v>100</v>
      </c>
    </row>
    <row r="1352" spans="1:13" ht="25.5">
      <c r="A1352" s="59" t="s">
        <v>520</v>
      </c>
      <c r="B1352" s="28" t="s">
        <v>481</v>
      </c>
      <c r="C1352" s="28" t="s">
        <v>19</v>
      </c>
      <c r="D1352" s="28" t="s">
        <v>93</v>
      </c>
      <c r="E1352" s="28" t="s">
        <v>521</v>
      </c>
      <c r="F1352" s="58" t="s">
        <v>0</v>
      </c>
      <c r="G1352" s="35">
        <f>G1353</f>
        <v>500</v>
      </c>
      <c r="H1352" s="35">
        <f t="shared" ref="H1352:K1353" si="621">H1353</f>
        <v>500</v>
      </c>
      <c r="I1352" s="35">
        <f t="shared" si="621"/>
        <v>75</v>
      </c>
      <c r="J1352" s="35">
        <f t="shared" si="621"/>
        <v>0</v>
      </c>
      <c r="K1352" s="35">
        <f t="shared" si="621"/>
        <v>0</v>
      </c>
      <c r="L1352" s="35">
        <f t="shared" si="606"/>
        <v>0</v>
      </c>
      <c r="M1352" s="35">
        <f t="shared" si="607"/>
        <v>0</v>
      </c>
    </row>
    <row r="1353" spans="1:13" ht="25.5">
      <c r="A1353" s="59" t="s">
        <v>64</v>
      </c>
      <c r="B1353" s="28" t="s">
        <v>481</v>
      </c>
      <c r="C1353" s="28" t="s">
        <v>19</v>
      </c>
      <c r="D1353" s="28" t="s">
        <v>93</v>
      </c>
      <c r="E1353" s="28" t="s">
        <v>521</v>
      </c>
      <c r="F1353" s="28" t="s">
        <v>65</v>
      </c>
      <c r="G1353" s="35">
        <f>G1354</f>
        <v>500</v>
      </c>
      <c r="H1353" s="35">
        <f t="shared" si="621"/>
        <v>500</v>
      </c>
      <c r="I1353" s="35">
        <f t="shared" si="621"/>
        <v>75</v>
      </c>
      <c r="J1353" s="35">
        <f t="shared" si="621"/>
        <v>0</v>
      </c>
      <c r="K1353" s="35">
        <f t="shared" si="621"/>
        <v>0</v>
      </c>
      <c r="L1353" s="35">
        <f t="shared" si="606"/>
        <v>0</v>
      </c>
      <c r="M1353" s="35">
        <f t="shared" si="607"/>
        <v>0</v>
      </c>
    </row>
    <row r="1354" spans="1:13" ht="25.5">
      <c r="A1354" s="59" t="s">
        <v>66</v>
      </c>
      <c r="B1354" s="28" t="s">
        <v>481</v>
      </c>
      <c r="C1354" s="28" t="s">
        <v>19</v>
      </c>
      <c r="D1354" s="28" t="s">
        <v>93</v>
      </c>
      <c r="E1354" s="28" t="s">
        <v>521</v>
      </c>
      <c r="F1354" s="28" t="s">
        <v>67</v>
      </c>
      <c r="G1354" s="35">
        <v>500</v>
      </c>
      <c r="H1354" s="35">
        <v>500</v>
      </c>
      <c r="I1354" s="35">
        <v>75</v>
      </c>
      <c r="J1354" s="35">
        <v>0</v>
      </c>
      <c r="K1354" s="35">
        <v>0</v>
      </c>
      <c r="L1354" s="35">
        <f t="shared" si="606"/>
        <v>0</v>
      </c>
      <c r="M1354" s="35">
        <f t="shared" si="607"/>
        <v>0</v>
      </c>
    </row>
    <row r="1355" spans="1:13" ht="25.5">
      <c r="A1355" s="59" t="s">
        <v>522</v>
      </c>
      <c r="B1355" s="28" t="s">
        <v>481</v>
      </c>
      <c r="C1355" s="28" t="s">
        <v>19</v>
      </c>
      <c r="D1355" s="28" t="s">
        <v>93</v>
      </c>
      <c r="E1355" s="28" t="s">
        <v>523</v>
      </c>
      <c r="F1355" s="58" t="s">
        <v>0</v>
      </c>
      <c r="G1355" s="35">
        <f>G1356</f>
        <v>16000</v>
      </c>
      <c r="H1355" s="35">
        <f t="shared" ref="H1355:K1356" si="622">H1356</f>
        <v>16000</v>
      </c>
      <c r="I1355" s="35">
        <f t="shared" si="622"/>
        <v>16000</v>
      </c>
      <c r="J1355" s="35">
        <f t="shared" si="622"/>
        <v>16000</v>
      </c>
      <c r="K1355" s="35">
        <f t="shared" si="622"/>
        <v>16000</v>
      </c>
      <c r="L1355" s="35">
        <f t="shared" si="606"/>
        <v>100</v>
      </c>
      <c r="M1355" s="35">
        <f t="shared" si="607"/>
        <v>100</v>
      </c>
    </row>
    <row r="1356" spans="1:13">
      <c r="A1356" s="59" t="s">
        <v>72</v>
      </c>
      <c r="B1356" s="28" t="s">
        <v>481</v>
      </c>
      <c r="C1356" s="28" t="s">
        <v>19</v>
      </c>
      <c r="D1356" s="28" t="s">
        <v>93</v>
      </c>
      <c r="E1356" s="28" t="s">
        <v>523</v>
      </c>
      <c r="F1356" s="28" t="s">
        <v>73</v>
      </c>
      <c r="G1356" s="35">
        <f>G1357</f>
        <v>16000</v>
      </c>
      <c r="H1356" s="35">
        <f t="shared" si="622"/>
        <v>16000</v>
      </c>
      <c r="I1356" s="35">
        <f t="shared" si="622"/>
        <v>16000</v>
      </c>
      <c r="J1356" s="35">
        <f t="shared" si="622"/>
        <v>16000</v>
      </c>
      <c r="K1356" s="35">
        <f t="shared" si="622"/>
        <v>16000</v>
      </c>
      <c r="L1356" s="35">
        <f t="shared" si="606"/>
        <v>100</v>
      </c>
      <c r="M1356" s="35">
        <f t="shared" si="607"/>
        <v>100</v>
      </c>
    </row>
    <row r="1357" spans="1:13" ht="51">
      <c r="A1357" s="59" t="s">
        <v>218</v>
      </c>
      <c r="B1357" s="28" t="s">
        <v>481</v>
      </c>
      <c r="C1357" s="28" t="s">
        <v>19</v>
      </c>
      <c r="D1357" s="28" t="s">
        <v>93</v>
      </c>
      <c r="E1357" s="28" t="s">
        <v>523</v>
      </c>
      <c r="F1357" s="28" t="s">
        <v>219</v>
      </c>
      <c r="G1357" s="35">
        <v>16000</v>
      </c>
      <c r="H1357" s="35">
        <v>16000</v>
      </c>
      <c r="I1357" s="35">
        <v>16000</v>
      </c>
      <c r="J1357" s="35">
        <v>16000</v>
      </c>
      <c r="K1357" s="35">
        <v>16000</v>
      </c>
      <c r="L1357" s="35">
        <f t="shared" si="606"/>
        <v>100</v>
      </c>
      <c r="M1357" s="35">
        <f t="shared" si="607"/>
        <v>100</v>
      </c>
    </row>
    <row r="1358" spans="1:13" ht="25.5">
      <c r="A1358" s="59" t="s">
        <v>524</v>
      </c>
      <c r="B1358" s="28" t="s">
        <v>481</v>
      </c>
      <c r="C1358" s="28" t="s">
        <v>19</v>
      </c>
      <c r="D1358" s="28" t="s">
        <v>93</v>
      </c>
      <c r="E1358" s="28" t="s">
        <v>525</v>
      </c>
      <c r="F1358" s="58" t="s">
        <v>0</v>
      </c>
      <c r="G1358" s="35">
        <f>G1359</f>
        <v>1000</v>
      </c>
      <c r="H1358" s="35">
        <f t="shared" ref="H1358:K1359" si="623">H1359</f>
        <v>816.08</v>
      </c>
      <c r="I1358" s="35">
        <f t="shared" si="623"/>
        <v>0</v>
      </c>
      <c r="J1358" s="35">
        <f t="shared" si="623"/>
        <v>0</v>
      </c>
      <c r="K1358" s="35">
        <f t="shared" si="623"/>
        <v>0</v>
      </c>
      <c r="L1358" s="35">
        <f t="shared" si="606"/>
        <v>0</v>
      </c>
      <c r="M1358" s="35">
        <v>0</v>
      </c>
    </row>
    <row r="1359" spans="1:13">
      <c r="A1359" s="59" t="s">
        <v>72</v>
      </c>
      <c r="B1359" s="28" t="s">
        <v>481</v>
      </c>
      <c r="C1359" s="28" t="s">
        <v>19</v>
      </c>
      <c r="D1359" s="28" t="s">
        <v>93</v>
      </c>
      <c r="E1359" s="28" t="s">
        <v>525</v>
      </c>
      <c r="F1359" s="28" t="s">
        <v>73</v>
      </c>
      <c r="G1359" s="35">
        <f>G1360</f>
        <v>1000</v>
      </c>
      <c r="H1359" s="35">
        <f t="shared" si="623"/>
        <v>816.08</v>
      </c>
      <c r="I1359" s="35">
        <f t="shared" si="623"/>
        <v>0</v>
      </c>
      <c r="J1359" s="35">
        <f t="shared" si="623"/>
        <v>0</v>
      </c>
      <c r="K1359" s="35">
        <f t="shared" si="623"/>
        <v>0</v>
      </c>
      <c r="L1359" s="35">
        <f t="shared" si="606"/>
        <v>0</v>
      </c>
      <c r="M1359" s="35">
        <v>0</v>
      </c>
    </row>
    <row r="1360" spans="1:13" ht="51">
      <c r="A1360" s="59" t="s">
        <v>218</v>
      </c>
      <c r="B1360" s="28" t="s">
        <v>481</v>
      </c>
      <c r="C1360" s="28" t="s">
        <v>19</v>
      </c>
      <c r="D1360" s="28" t="s">
        <v>93</v>
      </c>
      <c r="E1360" s="28" t="s">
        <v>525</v>
      </c>
      <c r="F1360" s="28" t="s">
        <v>219</v>
      </c>
      <c r="G1360" s="35">
        <v>1000</v>
      </c>
      <c r="H1360" s="35">
        <v>816.08</v>
      </c>
      <c r="I1360" s="35">
        <v>0</v>
      </c>
      <c r="J1360" s="35">
        <v>0</v>
      </c>
      <c r="K1360" s="35">
        <v>0</v>
      </c>
      <c r="L1360" s="35">
        <f t="shared" si="606"/>
        <v>0</v>
      </c>
      <c r="M1360" s="35">
        <v>0</v>
      </c>
    </row>
    <row r="1361" spans="1:13" ht="25.5">
      <c r="A1361" s="59" t="s">
        <v>526</v>
      </c>
      <c r="B1361" s="28" t="s">
        <v>481</v>
      </c>
      <c r="C1361" s="28" t="s">
        <v>19</v>
      </c>
      <c r="D1361" s="28" t="s">
        <v>93</v>
      </c>
      <c r="E1361" s="28" t="s">
        <v>527</v>
      </c>
      <c r="F1361" s="58" t="s">
        <v>0</v>
      </c>
      <c r="G1361" s="35">
        <f>G1362</f>
        <v>9500</v>
      </c>
      <c r="H1361" s="35">
        <f t="shared" ref="H1361:K1362" si="624">H1362</f>
        <v>9500</v>
      </c>
      <c r="I1361" s="35">
        <f t="shared" si="624"/>
        <v>8902.8850000000002</v>
      </c>
      <c r="J1361" s="35">
        <f t="shared" si="624"/>
        <v>8902.8850000000002</v>
      </c>
      <c r="K1361" s="35">
        <f t="shared" si="624"/>
        <v>8902.8850000000002</v>
      </c>
      <c r="L1361" s="35">
        <f t="shared" si="606"/>
        <v>93.714578947368423</v>
      </c>
      <c r="M1361" s="35">
        <f t="shared" si="607"/>
        <v>100</v>
      </c>
    </row>
    <row r="1362" spans="1:13">
      <c r="A1362" s="59" t="s">
        <v>72</v>
      </c>
      <c r="B1362" s="28" t="s">
        <v>481</v>
      </c>
      <c r="C1362" s="28" t="s">
        <v>19</v>
      </c>
      <c r="D1362" s="28" t="s">
        <v>93</v>
      </c>
      <c r="E1362" s="28" t="s">
        <v>527</v>
      </c>
      <c r="F1362" s="28" t="s">
        <v>73</v>
      </c>
      <c r="G1362" s="35">
        <f>G1363</f>
        <v>9500</v>
      </c>
      <c r="H1362" s="35">
        <f t="shared" si="624"/>
        <v>9500</v>
      </c>
      <c r="I1362" s="35">
        <f t="shared" si="624"/>
        <v>8902.8850000000002</v>
      </c>
      <c r="J1362" s="35">
        <f t="shared" si="624"/>
        <v>8902.8850000000002</v>
      </c>
      <c r="K1362" s="35">
        <f t="shared" si="624"/>
        <v>8902.8850000000002</v>
      </c>
      <c r="L1362" s="35">
        <f t="shared" si="606"/>
        <v>93.714578947368423</v>
      </c>
      <c r="M1362" s="35">
        <f t="shared" si="607"/>
        <v>100</v>
      </c>
    </row>
    <row r="1363" spans="1:13" ht="51">
      <c r="A1363" s="59" t="s">
        <v>218</v>
      </c>
      <c r="B1363" s="28" t="s">
        <v>481</v>
      </c>
      <c r="C1363" s="28" t="s">
        <v>19</v>
      </c>
      <c r="D1363" s="28" t="s">
        <v>93</v>
      </c>
      <c r="E1363" s="28" t="s">
        <v>527</v>
      </c>
      <c r="F1363" s="28" t="s">
        <v>219</v>
      </c>
      <c r="G1363" s="35">
        <v>9500</v>
      </c>
      <c r="H1363" s="35">
        <v>9500</v>
      </c>
      <c r="I1363" s="35">
        <v>8902.8850000000002</v>
      </c>
      <c r="J1363" s="35">
        <v>8902.8850000000002</v>
      </c>
      <c r="K1363" s="35">
        <v>8902.8850000000002</v>
      </c>
      <c r="L1363" s="35">
        <f t="shared" si="606"/>
        <v>93.714578947368423</v>
      </c>
      <c r="M1363" s="35">
        <f t="shared" si="607"/>
        <v>100</v>
      </c>
    </row>
    <row r="1364" spans="1:13" ht="38.25">
      <c r="A1364" s="59" t="s">
        <v>528</v>
      </c>
      <c r="B1364" s="28" t="s">
        <v>481</v>
      </c>
      <c r="C1364" s="28" t="s">
        <v>19</v>
      </c>
      <c r="D1364" s="28" t="s">
        <v>93</v>
      </c>
      <c r="E1364" s="28" t="s">
        <v>529</v>
      </c>
      <c r="F1364" s="58" t="s">
        <v>0</v>
      </c>
      <c r="G1364" s="35">
        <f>G1365</f>
        <v>5240.8</v>
      </c>
      <c r="H1364" s="35">
        <f t="shared" ref="H1364:K1365" si="625">H1365</f>
        <v>5240.8</v>
      </c>
      <c r="I1364" s="35">
        <f t="shared" si="625"/>
        <v>4998.2120000000004</v>
      </c>
      <c r="J1364" s="35">
        <f t="shared" si="625"/>
        <v>4998.2120000000004</v>
      </c>
      <c r="K1364" s="35">
        <f t="shared" si="625"/>
        <v>4998.2120000000004</v>
      </c>
      <c r="L1364" s="35">
        <f t="shared" si="606"/>
        <v>95.371164707678219</v>
      </c>
      <c r="M1364" s="35">
        <f t="shared" si="607"/>
        <v>100</v>
      </c>
    </row>
    <row r="1365" spans="1:13">
      <c r="A1365" s="59" t="s">
        <v>72</v>
      </c>
      <c r="B1365" s="28" t="s">
        <v>481</v>
      </c>
      <c r="C1365" s="28" t="s">
        <v>19</v>
      </c>
      <c r="D1365" s="28" t="s">
        <v>93</v>
      </c>
      <c r="E1365" s="28" t="s">
        <v>529</v>
      </c>
      <c r="F1365" s="28" t="s">
        <v>73</v>
      </c>
      <c r="G1365" s="35">
        <f>G1366</f>
        <v>5240.8</v>
      </c>
      <c r="H1365" s="35">
        <f t="shared" si="625"/>
        <v>5240.8</v>
      </c>
      <c r="I1365" s="35">
        <f t="shared" si="625"/>
        <v>4998.2120000000004</v>
      </c>
      <c r="J1365" s="35">
        <f t="shared" si="625"/>
        <v>4998.2120000000004</v>
      </c>
      <c r="K1365" s="35">
        <f t="shared" si="625"/>
        <v>4998.2120000000004</v>
      </c>
      <c r="L1365" s="35">
        <f t="shared" si="606"/>
        <v>95.371164707678219</v>
      </c>
      <c r="M1365" s="35">
        <f t="shared" si="607"/>
        <v>100</v>
      </c>
    </row>
    <row r="1366" spans="1:13" ht="51">
      <c r="A1366" s="59" t="s">
        <v>218</v>
      </c>
      <c r="B1366" s="28" t="s">
        <v>481</v>
      </c>
      <c r="C1366" s="28" t="s">
        <v>19</v>
      </c>
      <c r="D1366" s="28" t="s">
        <v>93</v>
      </c>
      <c r="E1366" s="28" t="s">
        <v>529</v>
      </c>
      <c r="F1366" s="28" t="s">
        <v>219</v>
      </c>
      <c r="G1366" s="35">
        <v>5240.8</v>
      </c>
      <c r="H1366" s="35">
        <v>5240.8</v>
      </c>
      <c r="I1366" s="35">
        <v>4998.2120000000004</v>
      </c>
      <c r="J1366" s="35">
        <v>4998.2120000000004</v>
      </c>
      <c r="K1366" s="35">
        <v>4998.2120000000004</v>
      </c>
      <c r="L1366" s="35">
        <f t="shared" si="606"/>
        <v>95.371164707678219</v>
      </c>
      <c r="M1366" s="35">
        <f t="shared" si="607"/>
        <v>100</v>
      </c>
    </row>
    <row r="1367" spans="1:13" ht="51">
      <c r="A1367" s="59" t="s">
        <v>530</v>
      </c>
      <c r="B1367" s="28" t="s">
        <v>481</v>
      </c>
      <c r="C1367" s="28" t="s">
        <v>19</v>
      </c>
      <c r="D1367" s="28" t="s">
        <v>93</v>
      </c>
      <c r="E1367" s="28" t="s">
        <v>531</v>
      </c>
      <c r="F1367" s="58" t="s">
        <v>0</v>
      </c>
      <c r="G1367" s="35">
        <f>G1368</f>
        <v>600</v>
      </c>
      <c r="H1367" s="35">
        <f t="shared" ref="H1367:K1368" si="626">H1368</f>
        <v>600</v>
      </c>
      <c r="I1367" s="35">
        <f t="shared" si="626"/>
        <v>391.17700000000002</v>
      </c>
      <c r="J1367" s="35">
        <f t="shared" si="626"/>
        <v>391.17700000000002</v>
      </c>
      <c r="K1367" s="35">
        <f t="shared" si="626"/>
        <v>391.17700000000002</v>
      </c>
      <c r="L1367" s="35">
        <f t="shared" si="606"/>
        <v>65.19616666666667</v>
      </c>
      <c r="M1367" s="35">
        <f t="shared" si="607"/>
        <v>100</v>
      </c>
    </row>
    <row r="1368" spans="1:13">
      <c r="A1368" s="59" t="s">
        <v>72</v>
      </c>
      <c r="B1368" s="28" t="s">
        <v>481</v>
      </c>
      <c r="C1368" s="28" t="s">
        <v>19</v>
      </c>
      <c r="D1368" s="28" t="s">
        <v>93</v>
      </c>
      <c r="E1368" s="28" t="s">
        <v>531</v>
      </c>
      <c r="F1368" s="28" t="s">
        <v>73</v>
      </c>
      <c r="G1368" s="35">
        <f>G1369</f>
        <v>600</v>
      </c>
      <c r="H1368" s="35">
        <f t="shared" si="626"/>
        <v>600</v>
      </c>
      <c r="I1368" s="35">
        <f t="shared" si="626"/>
        <v>391.17700000000002</v>
      </c>
      <c r="J1368" s="35">
        <f t="shared" si="626"/>
        <v>391.17700000000002</v>
      </c>
      <c r="K1368" s="35">
        <f t="shared" si="626"/>
        <v>391.17700000000002</v>
      </c>
      <c r="L1368" s="35">
        <f t="shared" si="606"/>
        <v>65.19616666666667</v>
      </c>
      <c r="M1368" s="35">
        <f t="shared" si="607"/>
        <v>100</v>
      </c>
    </row>
    <row r="1369" spans="1:13" ht="51">
      <c r="A1369" s="59" t="s">
        <v>218</v>
      </c>
      <c r="B1369" s="28" t="s">
        <v>481</v>
      </c>
      <c r="C1369" s="28" t="s">
        <v>19</v>
      </c>
      <c r="D1369" s="28" t="s">
        <v>93</v>
      </c>
      <c r="E1369" s="28" t="s">
        <v>531</v>
      </c>
      <c r="F1369" s="28" t="s">
        <v>219</v>
      </c>
      <c r="G1369" s="35">
        <v>600</v>
      </c>
      <c r="H1369" s="35">
        <v>600</v>
      </c>
      <c r="I1369" s="35">
        <v>391.17700000000002</v>
      </c>
      <c r="J1369" s="35">
        <v>391.17700000000002</v>
      </c>
      <c r="K1369" s="35">
        <v>391.17700000000002</v>
      </c>
      <c r="L1369" s="35">
        <f t="shared" si="606"/>
        <v>65.19616666666667</v>
      </c>
      <c r="M1369" s="35">
        <f t="shared" si="607"/>
        <v>100</v>
      </c>
    </row>
    <row r="1370" spans="1:13" ht="76.5">
      <c r="A1370" s="59" t="s">
        <v>532</v>
      </c>
      <c r="B1370" s="28" t="s">
        <v>481</v>
      </c>
      <c r="C1370" s="28" t="s">
        <v>19</v>
      </c>
      <c r="D1370" s="28" t="s">
        <v>93</v>
      </c>
      <c r="E1370" s="28" t="s">
        <v>533</v>
      </c>
      <c r="F1370" s="58" t="s">
        <v>0</v>
      </c>
      <c r="G1370" s="35">
        <f>G1371</f>
        <v>4100</v>
      </c>
      <c r="H1370" s="35">
        <f t="shared" ref="H1370:K1371" si="627">H1371</f>
        <v>4100</v>
      </c>
      <c r="I1370" s="35">
        <f t="shared" si="627"/>
        <v>2218.7310000000002</v>
      </c>
      <c r="J1370" s="35">
        <f t="shared" si="627"/>
        <v>2218.7310000000002</v>
      </c>
      <c r="K1370" s="35">
        <f t="shared" si="627"/>
        <v>2218.7310000000002</v>
      </c>
      <c r="L1370" s="35">
        <f t="shared" si="606"/>
        <v>54.115390243902439</v>
      </c>
      <c r="M1370" s="35">
        <f t="shared" si="607"/>
        <v>100</v>
      </c>
    </row>
    <row r="1371" spans="1:13">
      <c r="A1371" s="59" t="s">
        <v>72</v>
      </c>
      <c r="B1371" s="28" t="s">
        <v>481</v>
      </c>
      <c r="C1371" s="28" t="s">
        <v>19</v>
      </c>
      <c r="D1371" s="28" t="s">
        <v>93</v>
      </c>
      <c r="E1371" s="28" t="s">
        <v>533</v>
      </c>
      <c r="F1371" s="28" t="s">
        <v>73</v>
      </c>
      <c r="G1371" s="35">
        <f>G1372</f>
        <v>4100</v>
      </c>
      <c r="H1371" s="35">
        <f t="shared" si="627"/>
        <v>4100</v>
      </c>
      <c r="I1371" s="35">
        <f t="shared" si="627"/>
        <v>2218.7310000000002</v>
      </c>
      <c r="J1371" s="35">
        <f t="shared" si="627"/>
        <v>2218.7310000000002</v>
      </c>
      <c r="K1371" s="35">
        <f t="shared" si="627"/>
        <v>2218.7310000000002</v>
      </c>
      <c r="L1371" s="35">
        <f t="shared" si="606"/>
        <v>54.115390243902439</v>
      </c>
      <c r="M1371" s="35">
        <f t="shared" si="607"/>
        <v>100</v>
      </c>
    </row>
    <row r="1372" spans="1:13" ht="51">
      <c r="A1372" s="59" t="s">
        <v>218</v>
      </c>
      <c r="B1372" s="28" t="s">
        <v>481</v>
      </c>
      <c r="C1372" s="28" t="s">
        <v>19</v>
      </c>
      <c r="D1372" s="28" t="s">
        <v>93</v>
      </c>
      <c r="E1372" s="28" t="s">
        <v>533</v>
      </c>
      <c r="F1372" s="28" t="s">
        <v>219</v>
      </c>
      <c r="G1372" s="35">
        <v>4100</v>
      </c>
      <c r="H1372" s="35">
        <v>4100</v>
      </c>
      <c r="I1372" s="35">
        <v>2218.7310000000002</v>
      </c>
      <c r="J1372" s="35">
        <v>2218.7310000000002</v>
      </c>
      <c r="K1372" s="35">
        <v>2218.7310000000002</v>
      </c>
      <c r="L1372" s="35">
        <f t="shared" si="606"/>
        <v>54.115390243902439</v>
      </c>
      <c r="M1372" s="35">
        <f t="shared" si="607"/>
        <v>100</v>
      </c>
    </row>
    <row r="1373" spans="1:13" ht="63.75" hidden="1">
      <c r="A1373" s="59" t="s">
        <v>534</v>
      </c>
      <c r="B1373" s="28" t="s">
        <v>481</v>
      </c>
      <c r="C1373" s="28" t="s">
        <v>19</v>
      </c>
      <c r="D1373" s="28" t="s">
        <v>93</v>
      </c>
      <c r="E1373" s="28" t="s">
        <v>535</v>
      </c>
      <c r="F1373" s="58" t="s">
        <v>0</v>
      </c>
      <c r="G1373" s="35">
        <f>G1374</f>
        <v>0</v>
      </c>
      <c r="H1373" s="35">
        <f t="shared" ref="H1373:K1374" si="628">H1374</f>
        <v>0</v>
      </c>
      <c r="I1373" s="35">
        <f t="shared" si="628"/>
        <v>0</v>
      </c>
      <c r="J1373" s="35">
        <f t="shared" si="628"/>
        <v>0</v>
      </c>
      <c r="K1373" s="35">
        <f t="shared" si="628"/>
        <v>0</v>
      </c>
      <c r="L1373" s="35" t="e">
        <f t="shared" si="606"/>
        <v>#DIV/0!</v>
      </c>
      <c r="M1373" s="35" t="e">
        <f t="shared" si="607"/>
        <v>#DIV/0!</v>
      </c>
    </row>
    <row r="1374" spans="1:13" hidden="1">
      <c r="A1374" s="59" t="s">
        <v>72</v>
      </c>
      <c r="B1374" s="28" t="s">
        <v>481</v>
      </c>
      <c r="C1374" s="28" t="s">
        <v>19</v>
      </c>
      <c r="D1374" s="28" t="s">
        <v>93</v>
      </c>
      <c r="E1374" s="28" t="s">
        <v>535</v>
      </c>
      <c r="F1374" s="28" t="s">
        <v>73</v>
      </c>
      <c r="G1374" s="35">
        <f>G1375</f>
        <v>0</v>
      </c>
      <c r="H1374" s="35">
        <f t="shared" si="628"/>
        <v>0</v>
      </c>
      <c r="I1374" s="35">
        <f t="shared" si="628"/>
        <v>0</v>
      </c>
      <c r="J1374" s="35">
        <f t="shared" si="628"/>
        <v>0</v>
      </c>
      <c r="K1374" s="35">
        <f t="shared" si="628"/>
        <v>0</v>
      </c>
      <c r="L1374" s="35" t="e">
        <f t="shared" si="606"/>
        <v>#DIV/0!</v>
      </c>
      <c r="M1374" s="35" t="e">
        <f t="shared" si="607"/>
        <v>#DIV/0!</v>
      </c>
    </row>
    <row r="1375" spans="1:13" ht="51" hidden="1">
      <c r="A1375" s="59" t="s">
        <v>218</v>
      </c>
      <c r="B1375" s="28" t="s">
        <v>481</v>
      </c>
      <c r="C1375" s="28" t="s">
        <v>19</v>
      </c>
      <c r="D1375" s="28" t="s">
        <v>93</v>
      </c>
      <c r="E1375" s="28" t="s">
        <v>535</v>
      </c>
      <c r="F1375" s="28" t="s">
        <v>219</v>
      </c>
      <c r="G1375" s="35"/>
      <c r="H1375" s="35">
        <v>0</v>
      </c>
      <c r="I1375" s="35"/>
      <c r="J1375" s="35"/>
      <c r="K1375" s="35"/>
      <c r="L1375" s="35" t="e">
        <f t="shared" si="606"/>
        <v>#DIV/0!</v>
      </c>
      <c r="M1375" s="35" t="e">
        <f t="shared" si="607"/>
        <v>#DIV/0!</v>
      </c>
    </row>
    <row r="1376" spans="1:13" ht="38.25">
      <c r="A1376" s="59" t="s">
        <v>536</v>
      </c>
      <c r="B1376" s="28" t="s">
        <v>481</v>
      </c>
      <c r="C1376" s="28" t="s">
        <v>19</v>
      </c>
      <c r="D1376" s="28" t="s">
        <v>93</v>
      </c>
      <c r="E1376" s="28" t="s">
        <v>537</v>
      </c>
      <c r="F1376" s="58" t="s">
        <v>0</v>
      </c>
      <c r="G1376" s="35">
        <f>G1377</f>
        <v>7000</v>
      </c>
      <c r="H1376" s="35">
        <f t="shared" ref="H1376:K1377" si="629">H1377</f>
        <v>7000</v>
      </c>
      <c r="I1376" s="35">
        <f t="shared" si="629"/>
        <v>4281.5370000000003</v>
      </c>
      <c r="J1376" s="35">
        <f t="shared" si="629"/>
        <v>4281.5370000000003</v>
      </c>
      <c r="K1376" s="35">
        <f t="shared" si="629"/>
        <v>4281.5370000000003</v>
      </c>
      <c r="L1376" s="35">
        <f t="shared" si="606"/>
        <v>61.164814285714286</v>
      </c>
      <c r="M1376" s="35">
        <f t="shared" si="607"/>
        <v>100</v>
      </c>
    </row>
    <row r="1377" spans="1:13">
      <c r="A1377" s="59" t="s">
        <v>72</v>
      </c>
      <c r="B1377" s="28" t="s">
        <v>481</v>
      </c>
      <c r="C1377" s="28" t="s">
        <v>19</v>
      </c>
      <c r="D1377" s="28" t="s">
        <v>93</v>
      </c>
      <c r="E1377" s="28" t="s">
        <v>537</v>
      </c>
      <c r="F1377" s="28" t="s">
        <v>73</v>
      </c>
      <c r="G1377" s="35">
        <f>G1378</f>
        <v>7000</v>
      </c>
      <c r="H1377" s="35">
        <f t="shared" si="629"/>
        <v>7000</v>
      </c>
      <c r="I1377" s="35">
        <f t="shared" si="629"/>
        <v>4281.5370000000003</v>
      </c>
      <c r="J1377" s="35">
        <f t="shared" si="629"/>
        <v>4281.5370000000003</v>
      </c>
      <c r="K1377" s="35">
        <f t="shared" si="629"/>
        <v>4281.5370000000003</v>
      </c>
      <c r="L1377" s="35">
        <f t="shared" si="606"/>
        <v>61.164814285714286</v>
      </c>
      <c r="M1377" s="35">
        <f t="shared" si="607"/>
        <v>100</v>
      </c>
    </row>
    <row r="1378" spans="1:13" ht="51">
      <c r="A1378" s="59" t="s">
        <v>218</v>
      </c>
      <c r="B1378" s="28" t="s">
        <v>481</v>
      </c>
      <c r="C1378" s="28" t="s">
        <v>19</v>
      </c>
      <c r="D1378" s="28" t="s">
        <v>93</v>
      </c>
      <c r="E1378" s="28" t="s">
        <v>537</v>
      </c>
      <c r="F1378" s="28" t="s">
        <v>219</v>
      </c>
      <c r="G1378" s="35">
        <v>7000</v>
      </c>
      <c r="H1378" s="35">
        <v>7000</v>
      </c>
      <c r="I1378" s="35">
        <v>4281.5370000000003</v>
      </c>
      <c r="J1378" s="35">
        <v>4281.5370000000003</v>
      </c>
      <c r="K1378" s="35">
        <v>4281.5370000000003</v>
      </c>
      <c r="L1378" s="35">
        <f t="shared" si="606"/>
        <v>61.164814285714286</v>
      </c>
      <c r="M1378" s="35">
        <f t="shared" si="607"/>
        <v>100</v>
      </c>
    </row>
    <row r="1379" spans="1:13" ht="25.5">
      <c r="A1379" s="59" t="s">
        <v>538</v>
      </c>
      <c r="B1379" s="28" t="s">
        <v>481</v>
      </c>
      <c r="C1379" s="28" t="s">
        <v>19</v>
      </c>
      <c r="D1379" s="28" t="s">
        <v>93</v>
      </c>
      <c r="E1379" s="28" t="s">
        <v>539</v>
      </c>
      <c r="F1379" s="58" t="s">
        <v>0</v>
      </c>
      <c r="G1379" s="35">
        <f>G1380</f>
        <v>865</v>
      </c>
      <c r="H1379" s="35">
        <f t="shared" ref="H1379:K1380" si="630">H1380</f>
        <v>865</v>
      </c>
      <c r="I1379" s="35">
        <f t="shared" si="630"/>
        <v>294.89999999999998</v>
      </c>
      <c r="J1379" s="35">
        <f t="shared" si="630"/>
        <v>294.89999999999998</v>
      </c>
      <c r="K1379" s="35">
        <f t="shared" si="630"/>
        <v>294.89999999999998</v>
      </c>
      <c r="L1379" s="35">
        <f t="shared" ref="L1379:L1442" si="631">K1379/H1379*100</f>
        <v>34.092485549132945</v>
      </c>
      <c r="M1379" s="35">
        <f t="shared" ref="M1379:M1442" si="632">K1379/I1379*100</f>
        <v>100</v>
      </c>
    </row>
    <row r="1380" spans="1:13">
      <c r="A1380" s="59" t="s">
        <v>72</v>
      </c>
      <c r="B1380" s="28" t="s">
        <v>481</v>
      </c>
      <c r="C1380" s="28" t="s">
        <v>19</v>
      </c>
      <c r="D1380" s="28" t="s">
        <v>93</v>
      </c>
      <c r="E1380" s="28" t="s">
        <v>539</v>
      </c>
      <c r="F1380" s="28" t="s">
        <v>73</v>
      </c>
      <c r="G1380" s="35">
        <f>G1381</f>
        <v>865</v>
      </c>
      <c r="H1380" s="35">
        <f t="shared" si="630"/>
        <v>865</v>
      </c>
      <c r="I1380" s="35">
        <f t="shared" si="630"/>
        <v>294.89999999999998</v>
      </c>
      <c r="J1380" s="35">
        <f t="shared" si="630"/>
        <v>294.89999999999998</v>
      </c>
      <c r="K1380" s="35">
        <f t="shared" si="630"/>
        <v>294.89999999999998</v>
      </c>
      <c r="L1380" s="35">
        <f t="shared" si="631"/>
        <v>34.092485549132945</v>
      </c>
      <c r="M1380" s="35">
        <f t="shared" si="632"/>
        <v>100</v>
      </c>
    </row>
    <row r="1381" spans="1:13" ht="51">
      <c r="A1381" s="59" t="s">
        <v>218</v>
      </c>
      <c r="B1381" s="28" t="s">
        <v>481</v>
      </c>
      <c r="C1381" s="28" t="s">
        <v>19</v>
      </c>
      <c r="D1381" s="28" t="s">
        <v>93</v>
      </c>
      <c r="E1381" s="28" t="s">
        <v>539</v>
      </c>
      <c r="F1381" s="28" t="s">
        <v>219</v>
      </c>
      <c r="G1381" s="35">
        <v>865</v>
      </c>
      <c r="H1381" s="35">
        <v>865</v>
      </c>
      <c r="I1381" s="35">
        <v>294.89999999999998</v>
      </c>
      <c r="J1381" s="35">
        <v>294.89999999999998</v>
      </c>
      <c r="K1381" s="35">
        <v>294.89999999999998</v>
      </c>
      <c r="L1381" s="35">
        <f t="shared" si="631"/>
        <v>34.092485549132945</v>
      </c>
      <c r="M1381" s="35">
        <f t="shared" si="632"/>
        <v>100</v>
      </c>
    </row>
    <row r="1382" spans="1:13" ht="38.25">
      <c r="A1382" s="59" t="s">
        <v>540</v>
      </c>
      <c r="B1382" s="28" t="s">
        <v>481</v>
      </c>
      <c r="C1382" s="28" t="s">
        <v>19</v>
      </c>
      <c r="D1382" s="28" t="s">
        <v>93</v>
      </c>
      <c r="E1382" s="28" t="s">
        <v>541</v>
      </c>
      <c r="F1382" s="58" t="s">
        <v>0</v>
      </c>
      <c r="G1382" s="35">
        <f>G1383</f>
        <v>260000</v>
      </c>
      <c r="H1382" s="35">
        <f t="shared" ref="H1382:K1383" si="633">H1383</f>
        <v>260000</v>
      </c>
      <c r="I1382" s="35">
        <f t="shared" si="633"/>
        <v>260000</v>
      </c>
      <c r="J1382" s="35">
        <f t="shared" si="633"/>
        <v>260000</v>
      </c>
      <c r="K1382" s="35">
        <f t="shared" si="633"/>
        <v>260000</v>
      </c>
      <c r="L1382" s="35">
        <f t="shared" si="631"/>
        <v>100</v>
      </c>
      <c r="M1382" s="35">
        <f t="shared" si="632"/>
        <v>100</v>
      </c>
    </row>
    <row r="1383" spans="1:13">
      <c r="A1383" s="59" t="s">
        <v>72</v>
      </c>
      <c r="B1383" s="28" t="s">
        <v>481</v>
      </c>
      <c r="C1383" s="28" t="s">
        <v>19</v>
      </c>
      <c r="D1383" s="28" t="s">
        <v>93</v>
      </c>
      <c r="E1383" s="28" t="s">
        <v>541</v>
      </c>
      <c r="F1383" s="28" t="s">
        <v>73</v>
      </c>
      <c r="G1383" s="35">
        <f>G1384</f>
        <v>260000</v>
      </c>
      <c r="H1383" s="35">
        <f t="shared" si="633"/>
        <v>260000</v>
      </c>
      <c r="I1383" s="35">
        <f t="shared" si="633"/>
        <v>260000</v>
      </c>
      <c r="J1383" s="35">
        <f t="shared" si="633"/>
        <v>260000</v>
      </c>
      <c r="K1383" s="35">
        <f t="shared" si="633"/>
        <v>260000</v>
      </c>
      <c r="L1383" s="35">
        <f t="shared" si="631"/>
        <v>100</v>
      </c>
      <c r="M1383" s="35">
        <f t="shared" si="632"/>
        <v>100</v>
      </c>
    </row>
    <row r="1384" spans="1:13" ht="51">
      <c r="A1384" s="59" t="s">
        <v>218</v>
      </c>
      <c r="B1384" s="28" t="s">
        <v>481</v>
      </c>
      <c r="C1384" s="28" t="s">
        <v>19</v>
      </c>
      <c r="D1384" s="28" t="s">
        <v>93</v>
      </c>
      <c r="E1384" s="28" t="s">
        <v>541</v>
      </c>
      <c r="F1384" s="28" t="s">
        <v>219</v>
      </c>
      <c r="G1384" s="35">
        <v>260000</v>
      </c>
      <c r="H1384" s="35">
        <v>260000</v>
      </c>
      <c r="I1384" s="35">
        <v>260000</v>
      </c>
      <c r="J1384" s="35">
        <v>260000</v>
      </c>
      <c r="K1384" s="35">
        <v>260000</v>
      </c>
      <c r="L1384" s="35">
        <f t="shared" si="631"/>
        <v>100</v>
      </c>
      <c r="M1384" s="35">
        <f t="shared" si="632"/>
        <v>100</v>
      </c>
    </row>
    <row r="1385" spans="1:13" ht="38.25">
      <c r="A1385" s="59" t="s">
        <v>542</v>
      </c>
      <c r="B1385" s="28" t="s">
        <v>481</v>
      </c>
      <c r="C1385" s="28" t="s">
        <v>19</v>
      </c>
      <c r="D1385" s="28" t="s">
        <v>93</v>
      </c>
      <c r="E1385" s="28" t="s">
        <v>543</v>
      </c>
      <c r="F1385" s="58" t="s">
        <v>0</v>
      </c>
      <c r="G1385" s="35">
        <f>G1386</f>
        <v>270</v>
      </c>
      <c r="H1385" s="35">
        <f t="shared" ref="H1385:K1386" si="634">H1386</f>
        <v>270</v>
      </c>
      <c r="I1385" s="35">
        <f t="shared" si="634"/>
        <v>270</v>
      </c>
      <c r="J1385" s="35">
        <f t="shared" si="634"/>
        <v>270</v>
      </c>
      <c r="K1385" s="35">
        <f t="shared" si="634"/>
        <v>270</v>
      </c>
      <c r="L1385" s="35">
        <f t="shared" si="631"/>
        <v>100</v>
      </c>
      <c r="M1385" s="35">
        <f t="shared" si="632"/>
        <v>100</v>
      </c>
    </row>
    <row r="1386" spans="1:13">
      <c r="A1386" s="59" t="s">
        <v>72</v>
      </c>
      <c r="B1386" s="28" t="s">
        <v>481</v>
      </c>
      <c r="C1386" s="28" t="s">
        <v>19</v>
      </c>
      <c r="D1386" s="28" t="s">
        <v>93</v>
      </c>
      <c r="E1386" s="28" t="s">
        <v>543</v>
      </c>
      <c r="F1386" s="28" t="s">
        <v>73</v>
      </c>
      <c r="G1386" s="35">
        <f>G1387</f>
        <v>270</v>
      </c>
      <c r="H1386" s="35">
        <f t="shared" si="634"/>
        <v>270</v>
      </c>
      <c r="I1386" s="35">
        <f t="shared" si="634"/>
        <v>270</v>
      </c>
      <c r="J1386" s="35">
        <f t="shared" si="634"/>
        <v>270</v>
      </c>
      <c r="K1386" s="35">
        <f t="shared" si="634"/>
        <v>270</v>
      </c>
      <c r="L1386" s="35">
        <f t="shared" si="631"/>
        <v>100</v>
      </c>
      <c r="M1386" s="35">
        <f t="shared" si="632"/>
        <v>100</v>
      </c>
    </row>
    <row r="1387" spans="1:13" ht="51">
      <c r="A1387" s="59" t="s">
        <v>218</v>
      </c>
      <c r="B1387" s="28" t="s">
        <v>481</v>
      </c>
      <c r="C1387" s="28" t="s">
        <v>19</v>
      </c>
      <c r="D1387" s="28" t="s">
        <v>93</v>
      </c>
      <c r="E1387" s="28" t="s">
        <v>543</v>
      </c>
      <c r="F1387" s="28" t="s">
        <v>219</v>
      </c>
      <c r="G1387" s="35">
        <v>270</v>
      </c>
      <c r="H1387" s="35">
        <v>270</v>
      </c>
      <c r="I1387" s="35">
        <v>270</v>
      </c>
      <c r="J1387" s="35">
        <v>270</v>
      </c>
      <c r="K1387" s="35">
        <v>270</v>
      </c>
      <c r="L1387" s="35">
        <f t="shared" si="631"/>
        <v>100</v>
      </c>
      <c r="M1387" s="35">
        <f t="shared" si="632"/>
        <v>100</v>
      </c>
    </row>
    <row r="1388" spans="1:13" ht="51" hidden="1">
      <c r="A1388" s="59" t="s">
        <v>544</v>
      </c>
      <c r="B1388" s="28" t="s">
        <v>481</v>
      </c>
      <c r="C1388" s="28" t="s">
        <v>19</v>
      </c>
      <c r="D1388" s="28" t="s">
        <v>93</v>
      </c>
      <c r="E1388" s="28" t="s">
        <v>545</v>
      </c>
      <c r="F1388" s="58" t="s">
        <v>0</v>
      </c>
      <c r="G1388" s="35">
        <f>G1389</f>
        <v>0</v>
      </c>
      <c r="H1388" s="35">
        <f t="shared" ref="H1388:K1389" si="635">H1389</f>
        <v>0</v>
      </c>
      <c r="I1388" s="35">
        <f t="shared" si="635"/>
        <v>0</v>
      </c>
      <c r="J1388" s="35">
        <f t="shared" si="635"/>
        <v>0</v>
      </c>
      <c r="K1388" s="35">
        <f t="shared" si="635"/>
        <v>0</v>
      </c>
      <c r="L1388" s="35" t="e">
        <f t="shared" si="631"/>
        <v>#DIV/0!</v>
      </c>
      <c r="M1388" s="35" t="e">
        <f t="shared" si="632"/>
        <v>#DIV/0!</v>
      </c>
    </row>
    <row r="1389" spans="1:13" hidden="1">
      <c r="A1389" s="59" t="s">
        <v>72</v>
      </c>
      <c r="B1389" s="28" t="s">
        <v>481</v>
      </c>
      <c r="C1389" s="28" t="s">
        <v>19</v>
      </c>
      <c r="D1389" s="28" t="s">
        <v>93</v>
      </c>
      <c r="E1389" s="28" t="s">
        <v>545</v>
      </c>
      <c r="F1389" s="28" t="s">
        <v>73</v>
      </c>
      <c r="G1389" s="35">
        <f>G1390</f>
        <v>0</v>
      </c>
      <c r="H1389" s="35">
        <f t="shared" si="635"/>
        <v>0</v>
      </c>
      <c r="I1389" s="35">
        <f t="shared" si="635"/>
        <v>0</v>
      </c>
      <c r="J1389" s="35">
        <f t="shared" si="635"/>
        <v>0</v>
      </c>
      <c r="K1389" s="35">
        <f t="shared" si="635"/>
        <v>0</v>
      </c>
      <c r="L1389" s="35" t="e">
        <f t="shared" si="631"/>
        <v>#DIV/0!</v>
      </c>
      <c r="M1389" s="35" t="e">
        <f t="shared" si="632"/>
        <v>#DIV/0!</v>
      </c>
    </row>
    <row r="1390" spans="1:13" ht="51" hidden="1">
      <c r="A1390" s="59" t="s">
        <v>218</v>
      </c>
      <c r="B1390" s="28" t="s">
        <v>481</v>
      </c>
      <c r="C1390" s="28" t="s">
        <v>19</v>
      </c>
      <c r="D1390" s="28" t="s">
        <v>93</v>
      </c>
      <c r="E1390" s="28" t="s">
        <v>545</v>
      </c>
      <c r="F1390" s="28" t="s">
        <v>219</v>
      </c>
      <c r="G1390" s="35"/>
      <c r="H1390" s="35"/>
      <c r="I1390" s="35"/>
      <c r="J1390" s="35"/>
      <c r="K1390" s="35"/>
      <c r="L1390" s="35" t="e">
        <f t="shared" si="631"/>
        <v>#DIV/0!</v>
      </c>
      <c r="M1390" s="35" t="e">
        <f t="shared" si="632"/>
        <v>#DIV/0!</v>
      </c>
    </row>
    <row r="1391" spans="1:13" ht="76.5">
      <c r="A1391" s="59" t="s">
        <v>546</v>
      </c>
      <c r="B1391" s="28" t="s">
        <v>481</v>
      </c>
      <c r="C1391" s="28" t="s">
        <v>19</v>
      </c>
      <c r="D1391" s="28" t="s">
        <v>93</v>
      </c>
      <c r="E1391" s="28" t="s">
        <v>547</v>
      </c>
      <c r="F1391" s="58" t="s">
        <v>0</v>
      </c>
      <c r="G1391" s="35">
        <f>G1392</f>
        <v>10500</v>
      </c>
      <c r="H1391" s="35">
        <f t="shared" ref="H1391:K1392" si="636">H1392</f>
        <v>4990</v>
      </c>
      <c r="I1391" s="35">
        <f t="shared" si="636"/>
        <v>2595.00092</v>
      </c>
      <c r="J1391" s="35">
        <f t="shared" si="636"/>
        <v>2582.1069200000002</v>
      </c>
      <c r="K1391" s="35">
        <f t="shared" si="636"/>
        <v>2582.1069200000002</v>
      </c>
      <c r="L1391" s="35">
        <f t="shared" si="631"/>
        <v>51.745629659318638</v>
      </c>
      <c r="M1391" s="35">
        <f t="shared" si="632"/>
        <v>99.50312156344053</v>
      </c>
    </row>
    <row r="1392" spans="1:13">
      <c r="A1392" s="59" t="s">
        <v>72</v>
      </c>
      <c r="B1392" s="28" t="s">
        <v>481</v>
      </c>
      <c r="C1392" s="28" t="s">
        <v>19</v>
      </c>
      <c r="D1392" s="28" t="s">
        <v>93</v>
      </c>
      <c r="E1392" s="28" t="s">
        <v>547</v>
      </c>
      <c r="F1392" s="28" t="s">
        <v>73</v>
      </c>
      <c r="G1392" s="35">
        <f>G1393</f>
        <v>10500</v>
      </c>
      <c r="H1392" s="35">
        <f t="shared" si="636"/>
        <v>4990</v>
      </c>
      <c r="I1392" s="35">
        <f t="shared" si="636"/>
        <v>2595.00092</v>
      </c>
      <c r="J1392" s="35">
        <f t="shared" si="636"/>
        <v>2582.1069200000002</v>
      </c>
      <c r="K1392" s="35">
        <f t="shared" si="636"/>
        <v>2582.1069200000002</v>
      </c>
      <c r="L1392" s="35">
        <f t="shared" si="631"/>
        <v>51.745629659318638</v>
      </c>
      <c r="M1392" s="35">
        <f t="shared" si="632"/>
        <v>99.50312156344053</v>
      </c>
    </row>
    <row r="1393" spans="1:13" ht="51">
      <c r="A1393" s="59" t="s">
        <v>218</v>
      </c>
      <c r="B1393" s="28" t="s">
        <v>481</v>
      </c>
      <c r="C1393" s="28" t="s">
        <v>19</v>
      </c>
      <c r="D1393" s="28" t="s">
        <v>93</v>
      </c>
      <c r="E1393" s="28" t="s">
        <v>547</v>
      </c>
      <c r="F1393" s="28" t="s">
        <v>219</v>
      </c>
      <c r="G1393" s="35">
        <v>10500</v>
      </c>
      <c r="H1393" s="35">
        <v>4990</v>
      </c>
      <c r="I1393" s="35">
        <v>2595.00092</v>
      </c>
      <c r="J1393" s="35">
        <v>2582.1069200000002</v>
      </c>
      <c r="K1393" s="35">
        <v>2582.1069200000002</v>
      </c>
      <c r="L1393" s="35">
        <f t="shared" si="631"/>
        <v>51.745629659318638</v>
      </c>
      <c r="M1393" s="35">
        <f t="shared" si="632"/>
        <v>99.50312156344053</v>
      </c>
    </row>
    <row r="1394" spans="1:13" ht="41.25" customHeight="1">
      <c r="A1394" s="76" t="s">
        <v>1155</v>
      </c>
      <c r="B1394" s="28" t="s">
        <v>481</v>
      </c>
      <c r="C1394" s="28" t="s">
        <v>19</v>
      </c>
      <c r="D1394" s="28" t="s">
        <v>93</v>
      </c>
      <c r="E1394" s="77" t="s">
        <v>551</v>
      </c>
      <c r="F1394" s="58" t="s">
        <v>0</v>
      </c>
      <c r="G1394" s="35">
        <f>G1395</f>
        <v>500</v>
      </c>
      <c r="H1394" s="35">
        <f t="shared" ref="H1394:K1395" si="637">H1395</f>
        <v>500</v>
      </c>
      <c r="I1394" s="35">
        <f t="shared" si="637"/>
        <v>330</v>
      </c>
      <c r="J1394" s="35">
        <f t="shared" si="637"/>
        <v>257.351</v>
      </c>
      <c r="K1394" s="35">
        <f t="shared" si="637"/>
        <v>0</v>
      </c>
      <c r="L1394" s="35">
        <f t="shared" si="631"/>
        <v>0</v>
      </c>
      <c r="M1394" s="35">
        <f t="shared" si="632"/>
        <v>0</v>
      </c>
    </row>
    <row r="1395" spans="1:13">
      <c r="A1395" s="59" t="s">
        <v>72</v>
      </c>
      <c r="B1395" s="28" t="s">
        <v>481</v>
      </c>
      <c r="C1395" s="28" t="s">
        <v>19</v>
      </c>
      <c r="D1395" s="28" t="s">
        <v>93</v>
      </c>
      <c r="E1395" s="77" t="s">
        <v>551</v>
      </c>
      <c r="F1395" s="28" t="s">
        <v>73</v>
      </c>
      <c r="G1395" s="35">
        <f>G1399</f>
        <v>500</v>
      </c>
      <c r="H1395" s="35">
        <f>H1399</f>
        <v>500</v>
      </c>
      <c r="I1395" s="35">
        <f>I1399</f>
        <v>330</v>
      </c>
      <c r="J1395" s="35">
        <f>J1399</f>
        <v>257.351</v>
      </c>
      <c r="K1395" s="35">
        <f t="shared" si="637"/>
        <v>0</v>
      </c>
      <c r="L1395" s="35">
        <f t="shared" si="631"/>
        <v>0</v>
      </c>
      <c r="M1395" s="35">
        <f t="shared" si="632"/>
        <v>0</v>
      </c>
    </row>
    <row r="1396" spans="1:13" ht="51" hidden="1">
      <c r="A1396" s="59" t="s">
        <v>218</v>
      </c>
      <c r="B1396" s="28" t="s">
        <v>481</v>
      </c>
      <c r="C1396" s="28" t="s">
        <v>19</v>
      </c>
      <c r="D1396" s="28" t="s">
        <v>93</v>
      </c>
      <c r="E1396" s="77" t="s">
        <v>551</v>
      </c>
      <c r="F1396" s="28" t="s">
        <v>219</v>
      </c>
      <c r="G1396" s="35"/>
      <c r="H1396" s="35"/>
      <c r="I1396" s="35"/>
      <c r="J1396" s="35"/>
      <c r="K1396" s="35"/>
      <c r="L1396" s="35" t="e">
        <f t="shared" si="631"/>
        <v>#DIV/0!</v>
      </c>
      <c r="M1396" s="35" t="e">
        <f t="shared" si="632"/>
        <v>#DIV/0!</v>
      </c>
    </row>
    <row r="1397" spans="1:13" ht="51" hidden="1">
      <c r="A1397" s="59" t="s">
        <v>550</v>
      </c>
      <c r="B1397" s="28" t="s">
        <v>481</v>
      </c>
      <c r="C1397" s="28" t="s">
        <v>19</v>
      </c>
      <c r="D1397" s="28" t="s">
        <v>93</v>
      </c>
      <c r="E1397" s="77" t="s">
        <v>551</v>
      </c>
      <c r="F1397" s="58" t="s">
        <v>0</v>
      </c>
      <c r="G1397" s="35">
        <f>G1398</f>
        <v>500</v>
      </c>
      <c r="H1397" s="35">
        <f t="shared" ref="H1397:K1398" si="638">H1398</f>
        <v>500</v>
      </c>
      <c r="I1397" s="35">
        <f t="shared" si="638"/>
        <v>330</v>
      </c>
      <c r="J1397" s="35">
        <f t="shared" si="638"/>
        <v>257.351</v>
      </c>
      <c r="K1397" s="35">
        <f t="shared" si="638"/>
        <v>257.351</v>
      </c>
      <c r="L1397" s="35">
        <f t="shared" si="631"/>
        <v>51.470199999999998</v>
      </c>
      <c r="M1397" s="35">
        <f t="shared" si="632"/>
        <v>77.985151515151514</v>
      </c>
    </row>
    <row r="1398" spans="1:13" hidden="1">
      <c r="A1398" s="59" t="s">
        <v>72</v>
      </c>
      <c r="B1398" s="28" t="s">
        <v>481</v>
      </c>
      <c r="C1398" s="28" t="s">
        <v>19</v>
      </c>
      <c r="D1398" s="28" t="s">
        <v>93</v>
      </c>
      <c r="E1398" s="77" t="s">
        <v>551</v>
      </c>
      <c r="F1398" s="28" t="s">
        <v>73</v>
      </c>
      <c r="G1398" s="35">
        <f>G1399</f>
        <v>500</v>
      </c>
      <c r="H1398" s="35">
        <f t="shared" si="638"/>
        <v>500</v>
      </c>
      <c r="I1398" s="35">
        <f t="shared" si="638"/>
        <v>330</v>
      </c>
      <c r="J1398" s="35">
        <f t="shared" si="638"/>
        <v>257.351</v>
      </c>
      <c r="K1398" s="35">
        <f t="shared" si="638"/>
        <v>257.351</v>
      </c>
      <c r="L1398" s="35">
        <f t="shared" si="631"/>
        <v>51.470199999999998</v>
      </c>
      <c r="M1398" s="35">
        <f t="shared" si="632"/>
        <v>77.985151515151514</v>
      </c>
    </row>
    <row r="1399" spans="1:13" ht="51">
      <c r="A1399" s="59" t="s">
        <v>218</v>
      </c>
      <c r="B1399" s="28" t="s">
        <v>481</v>
      </c>
      <c r="C1399" s="28" t="s">
        <v>19</v>
      </c>
      <c r="D1399" s="28" t="s">
        <v>93</v>
      </c>
      <c r="E1399" s="77" t="s">
        <v>551</v>
      </c>
      <c r="F1399" s="28" t="s">
        <v>219</v>
      </c>
      <c r="G1399" s="35">
        <v>500</v>
      </c>
      <c r="H1399" s="35">
        <v>500</v>
      </c>
      <c r="I1399" s="35">
        <v>330</v>
      </c>
      <c r="J1399" s="35">
        <v>257.351</v>
      </c>
      <c r="K1399" s="35">
        <v>257.351</v>
      </c>
      <c r="L1399" s="35">
        <f t="shared" si="631"/>
        <v>51.470199999999998</v>
      </c>
      <c r="M1399" s="35">
        <f t="shared" si="632"/>
        <v>77.985151515151514</v>
      </c>
    </row>
    <row r="1400" spans="1:13" ht="25.5">
      <c r="A1400" s="59" t="s">
        <v>552</v>
      </c>
      <c r="B1400" s="28" t="s">
        <v>481</v>
      </c>
      <c r="C1400" s="28" t="s">
        <v>19</v>
      </c>
      <c r="D1400" s="28" t="s">
        <v>93</v>
      </c>
      <c r="E1400" s="28" t="s">
        <v>553</v>
      </c>
      <c r="F1400" s="58" t="s">
        <v>0</v>
      </c>
      <c r="G1400" s="35">
        <f>G1401</f>
        <v>6000</v>
      </c>
      <c r="H1400" s="35">
        <f t="shared" ref="H1400:K1401" si="639">H1401</f>
        <v>6000</v>
      </c>
      <c r="I1400" s="35">
        <f t="shared" si="639"/>
        <v>6000</v>
      </c>
      <c r="J1400" s="35">
        <f t="shared" si="639"/>
        <v>6000</v>
      </c>
      <c r="K1400" s="35">
        <f t="shared" si="639"/>
        <v>6000</v>
      </c>
      <c r="L1400" s="35">
        <f t="shared" si="631"/>
        <v>100</v>
      </c>
      <c r="M1400" s="35">
        <f t="shared" si="632"/>
        <v>100</v>
      </c>
    </row>
    <row r="1401" spans="1:13">
      <c r="A1401" s="59" t="s">
        <v>72</v>
      </c>
      <c r="B1401" s="28" t="s">
        <v>481</v>
      </c>
      <c r="C1401" s="28" t="s">
        <v>19</v>
      </c>
      <c r="D1401" s="28" t="s">
        <v>93</v>
      </c>
      <c r="E1401" s="28" t="s">
        <v>553</v>
      </c>
      <c r="F1401" s="28" t="s">
        <v>73</v>
      </c>
      <c r="G1401" s="35">
        <f>G1402</f>
        <v>6000</v>
      </c>
      <c r="H1401" s="35">
        <f t="shared" si="639"/>
        <v>6000</v>
      </c>
      <c r="I1401" s="35">
        <f t="shared" si="639"/>
        <v>6000</v>
      </c>
      <c r="J1401" s="35">
        <f t="shared" si="639"/>
        <v>6000</v>
      </c>
      <c r="K1401" s="35">
        <f t="shared" si="639"/>
        <v>6000</v>
      </c>
      <c r="L1401" s="35">
        <f t="shared" si="631"/>
        <v>100</v>
      </c>
      <c r="M1401" s="35">
        <f t="shared" si="632"/>
        <v>100</v>
      </c>
    </row>
    <row r="1402" spans="1:13" ht="51">
      <c r="A1402" s="59" t="s">
        <v>218</v>
      </c>
      <c r="B1402" s="28" t="s">
        <v>481</v>
      </c>
      <c r="C1402" s="28" t="s">
        <v>19</v>
      </c>
      <c r="D1402" s="28" t="s">
        <v>93</v>
      </c>
      <c r="E1402" s="28" t="s">
        <v>553</v>
      </c>
      <c r="F1402" s="28" t="s">
        <v>219</v>
      </c>
      <c r="G1402" s="35">
        <v>6000</v>
      </c>
      <c r="H1402" s="35">
        <v>6000</v>
      </c>
      <c r="I1402" s="35">
        <v>6000</v>
      </c>
      <c r="J1402" s="35">
        <v>6000</v>
      </c>
      <c r="K1402" s="35">
        <v>6000</v>
      </c>
      <c r="L1402" s="35">
        <f t="shared" si="631"/>
        <v>100</v>
      </c>
      <c r="M1402" s="35">
        <f t="shared" si="632"/>
        <v>100</v>
      </c>
    </row>
    <row r="1403" spans="1:13" ht="25.5">
      <c r="A1403" s="59" t="s">
        <v>554</v>
      </c>
      <c r="B1403" s="28" t="s">
        <v>481</v>
      </c>
      <c r="C1403" s="28" t="s">
        <v>19</v>
      </c>
      <c r="D1403" s="28" t="s">
        <v>93</v>
      </c>
      <c r="E1403" s="28" t="s">
        <v>555</v>
      </c>
      <c r="F1403" s="58" t="s">
        <v>0</v>
      </c>
      <c r="G1403" s="35">
        <f>G1404</f>
        <v>12000</v>
      </c>
      <c r="H1403" s="35">
        <f t="shared" ref="H1403:K1404" si="640">H1404</f>
        <v>12000</v>
      </c>
      <c r="I1403" s="35">
        <f t="shared" si="640"/>
        <v>2960.9</v>
      </c>
      <c r="J1403" s="35">
        <f t="shared" si="640"/>
        <v>2960.9</v>
      </c>
      <c r="K1403" s="35">
        <f t="shared" si="640"/>
        <v>2960.9</v>
      </c>
      <c r="L1403" s="35">
        <f t="shared" si="631"/>
        <v>24.674166666666668</v>
      </c>
      <c r="M1403" s="35">
        <f t="shared" si="632"/>
        <v>100</v>
      </c>
    </row>
    <row r="1404" spans="1:13">
      <c r="A1404" s="59" t="s">
        <v>72</v>
      </c>
      <c r="B1404" s="28" t="s">
        <v>481</v>
      </c>
      <c r="C1404" s="28" t="s">
        <v>19</v>
      </c>
      <c r="D1404" s="28" t="s">
        <v>93</v>
      </c>
      <c r="E1404" s="28" t="s">
        <v>555</v>
      </c>
      <c r="F1404" s="28" t="s">
        <v>73</v>
      </c>
      <c r="G1404" s="35">
        <f>G1405</f>
        <v>12000</v>
      </c>
      <c r="H1404" s="35">
        <f t="shared" si="640"/>
        <v>12000</v>
      </c>
      <c r="I1404" s="35">
        <f t="shared" si="640"/>
        <v>2960.9</v>
      </c>
      <c r="J1404" s="35">
        <f t="shared" si="640"/>
        <v>2960.9</v>
      </c>
      <c r="K1404" s="35">
        <f t="shared" si="640"/>
        <v>2960.9</v>
      </c>
      <c r="L1404" s="35">
        <f t="shared" si="631"/>
        <v>24.674166666666668</v>
      </c>
      <c r="M1404" s="35">
        <f t="shared" si="632"/>
        <v>100</v>
      </c>
    </row>
    <row r="1405" spans="1:13" ht="51">
      <c r="A1405" s="59" t="s">
        <v>218</v>
      </c>
      <c r="B1405" s="28" t="s">
        <v>481</v>
      </c>
      <c r="C1405" s="28" t="s">
        <v>19</v>
      </c>
      <c r="D1405" s="28" t="s">
        <v>93</v>
      </c>
      <c r="E1405" s="28" t="s">
        <v>555</v>
      </c>
      <c r="F1405" s="28" t="s">
        <v>219</v>
      </c>
      <c r="G1405" s="35">
        <v>12000</v>
      </c>
      <c r="H1405" s="35">
        <v>12000</v>
      </c>
      <c r="I1405" s="35">
        <v>2960.9</v>
      </c>
      <c r="J1405" s="35">
        <v>2960.9</v>
      </c>
      <c r="K1405" s="35">
        <v>2960.9</v>
      </c>
      <c r="L1405" s="35">
        <f t="shared" si="631"/>
        <v>24.674166666666668</v>
      </c>
      <c r="M1405" s="35">
        <f t="shared" si="632"/>
        <v>100</v>
      </c>
    </row>
    <row r="1406" spans="1:13" ht="51">
      <c r="A1406" s="59" t="s">
        <v>556</v>
      </c>
      <c r="B1406" s="28" t="s">
        <v>481</v>
      </c>
      <c r="C1406" s="28" t="s">
        <v>19</v>
      </c>
      <c r="D1406" s="28" t="s">
        <v>93</v>
      </c>
      <c r="E1406" s="28" t="s">
        <v>557</v>
      </c>
      <c r="F1406" s="58" t="s">
        <v>0</v>
      </c>
      <c r="G1406" s="35">
        <f>G1407</f>
        <v>150</v>
      </c>
      <c r="H1406" s="35">
        <f t="shared" ref="H1406:K1407" si="641">H1407</f>
        <v>150</v>
      </c>
      <c r="I1406" s="35">
        <f t="shared" si="641"/>
        <v>24.286999999999999</v>
      </c>
      <c r="J1406" s="35">
        <f t="shared" si="641"/>
        <v>24.286999999999999</v>
      </c>
      <c r="K1406" s="35">
        <f t="shared" si="641"/>
        <v>24.286999999999999</v>
      </c>
      <c r="L1406" s="35">
        <f t="shared" si="631"/>
        <v>16.191333333333333</v>
      </c>
      <c r="M1406" s="35">
        <f t="shared" si="632"/>
        <v>100</v>
      </c>
    </row>
    <row r="1407" spans="1:13">
      <c r="A1407" s="59" t="s">
        <v>72</v>
      </c>
      <c r="B1407" s="28" t="s">
        <v>481</v>
      </c>
      <c r="C1407" s="28" t="s">
        <v>19</v>
      </c>
      <c r="D1407" s="28" t="s">
        <v>93</v>
      </c>
      <c r="E1407" s="28" t="s">
        <v>557</v>
      </c>
      <c r="F1407" s="28" t="s">
        <v>73</v>
      </c>
      <c r="G1407" s="35">
        <f>G1408</f>
        <v>150</v>
      </c>
      <c r="H1407" s="35">
        <f t="shared" si="641"/>
        <v>150</v>
      </c>
      <c r="I1407" s="35">
        <f t="shared" si="641"/>
        <v>24.286999999999999</v>
      </c>
      <c r="J1407" s="35">
        <f t="shared" si="641"/>
        <v>24.286999999999999</v>
      </c>
      <c r="K1407" s="35">
        <f t="shared" si="641"/>
        <v>24.286999999999999</v>
      </c>
      <c r="L1407" s="35">
        <f t="shared" si="631"/>
        <v>16.191333333333333</v>
      </c>
      <c r="M1407" s="35">
        <f t="shared" si="632"/>
        <v>100</v>
      </c>
    </row>
    <row r="1408" spans="1:13" ht="51">
      <c r="A1408" s="59" t="s">
        <v>218</v>
      </c>
      <c r="B1408" s="28" t="s">
        <v>481</v>
      </c>
      <c r="C1408" s="28" t="s">
        <v>19</v>
      </c>
      <c r="D1408" s="28" t="s">
        <v>93</v>
      </c>
      <c r="E1408" s="28" t="s">
        <v>557</v>
      </c>
      <c r="F1408" s="28" t="s">
        <v>219</v>
      </c>
      <c r="G1408" s="35">
        <v>150</v>
      </c>
      <c r="H1408" s="35">
        <v>150</v>
      </c>
      <c r="I1408" s="35">
        <v>24.286999999999999</v>
      </c>
      <c r="J1408" s="35">
        <v>24.286999999999999</v>
      </c>
      <c r="K1408" s="35">
        <v>24.286999999999999</v>
      </c>
      <c r="L1408" s="35">
        <f t="shared" si="631"/>
        <v>16.191333333333333</v>
      </c>
      <c r="M1408" s="35">
        <f t="shared" si="632"/>
        <v>100</v>
      </c>
    </row>
    <row r="1409" spans="1:13" ht="63.75">
      <c r="A1409" s="59" t="s">
        <v>558</v>
      </c>
      <c r="B1409" s="28" t="s">
        <v>481</v>
      </c>
      <c r="C1409" s="28" t="s">
        <v>19</v>
      </c>
      <c r="D1409" s="28" t="s">
        <v>93</v>
      </c>
      <c r="E1409" s="28" t="s">
        <v>559</v>
      </c>
      <c r="F1409" s="58" t="s">
        <v>0</v>
      </c>
      <c r="G1409" s="35">
        <f>G1410</f>
        <v>100</v>
      </c>
      <c r="H1409" s="35">
        <f t="shared" ref="H1409:K1410" si="642">H1410</f>
        <v>100</v>
      </c>
      <c r="I1409" s="35">
        <f t="shared" si="642"/>
        <v>0</v>
      </c>
      <c r="J1409" s="35">
        <f t="shared" si="642"/>
        <v>0</v>
      </c>
      <c r="K1409" s="35">
        <f t="shared" si="642"/>
        <v>0</v>
      </c>
      <c r="L1409" s="35">
        <f t="shared" si="631"/>
        <v>0</v>
      </c>
      <c r="M1409" s="35">
        <v>0</v>
      </c>
    </row>
    <row r="1410" spans="1:13">
      <c r="A1410" s="59" t="s">
        <v>72</v>
      </c>
      <c r="B1410" s="28" t="s">
        <v>481</v>
      </c>
      <c r="C1410" s="28" t="s">
        <v>19</v>
      </c>
      <c r="D1410" s="28" t="s">
        <v>93</v>
      </c>
      <c r="E1410" s="28" t="s">
        <v>559</v>
      </c>
      <c r="F1410" s="28" t="s">
        <v>73</v>
      </c>
      <c r="G1410" s="35">
        <f>G1411</f>
        <v>100</v>
      </c>
      <c r="H1410" s="35">
        <f t="shared" si="642"/>
        <v>100</v>
      </c>
      <c r="I1410" s="35">
        <f t="shared" si="642"/>
        <v>0</v>
      </c>
      <c r="J1410" s="35">
        <f t="shared" si="642"/>
        <v>0</v>
      </c>
      <c r="K1410" s="35">
        <f t="shared" si="642"/>
        <v>0</v>
      </c>
      <c r="L1410" s="35">
        <f t="shared" si="631"/>
        <v>0</v>
      </c>
      <c r="M1410" s="35">
        <v>0</v>
      </c>
    </row>
    <row r="1411" spans="1:13" ht="51">
      <c r="A1411" s="59" t="s">
        <v>218</v>
      </c>
      <c r="B1411" s="28" t="s">
        <v>481</v>
      </c>
      <c r="C1411" s="28" t="s">
        <v>19</v>
      </c>
      <c r="D1411" s="28" t="s">
        <v>93</v>
      </c>
      <c r="E1411" s="28" t="s">
        <v>559</v>
      </c>
      <c r="F1411" s="28" t="s">
        <v>219</v>
      </c>
      <c r="G1411" s="35">
        <v>100</v>
      </c>
      <c r="H1411" s="35">
        <v>100</v>
      </c>
      <c r="I1411" s="35">
        <v>0</v>
      </c>
      <c r="J1411" s="35">
        <v>0</v>
      </c>
      <c r="K1411" s="35">
        <v>0</v>
      </c>
      <c r="L1411" s="35">
        <f t="shared" si="631"/>
        <v>0</v>
      </c>
      <c r="M1411" s="35">
        <v>0</v>
      </c>
    </row>
    <row r="1412" spans="1:13" ht="38.25">
      <c r="A1412" s="59" t="s">
        <v>560</v>
      </c>
      <c r="B1412" s="28" t="s">
        <v>481</v>
      </c>
      <c r="C1412" s="28" t="s">
        <v>19</v>
      </c>
      <c r="D1412" s="28" t="s">
        <v>93</v>
      </c>
      <c r="E1412" s="28" t="s">
        <v>561</v>
      </c>
      <c r="F1412" s="58" t="s">
        <v>0</v>
      </c>
      <c r="G1412" s="35">
        <f>G1413</f>
        <v>3000</v>
      </c>
      <c r="H1412" s="35">
        <f t="shared" ref="H1412:K1413" si="643">H1413</f>
        <v>3000</v>
      </c>
      <c r="I1412" s="35">
        <f t="shared" si="643"/>
        <v>1006.032</v>
      </c>
      <c r="J1412" s="35">
        <f t="shared" si="643"/>
        <v>1006.032</v>
      </c>
      <c r="K1412" s="35">
        <f t="shared" si="643"/>
        <v>1006.032</v>
      </c>
      <c r="L1412" s="35">
        <f t="shared" si="631"/>
        <v>33.534400000000005</v>
      </c>
      <c r="M1412" s="35">
        <f t="shared" si="632"/>
        <v>100</v>
      </c>
    </row>
    <row r="1413" spans="1:13">
      <c r="A1413" s="59" t="s">
        <v>72</v>
      </c>
      <c r="B1413" s="28" t="s">
        <v>481</v>
      </c>
      <c r="C1413" s="28" t="s">
        <v>19</v>
      </c>
      <c r="D1413" s="28" t="s">
        <v>93</v>
      </c>
      <c r="E1413" s="28" t="s">
        <v>561</v>
      </c>
      <c r="F1413" s="28" t="s">
        <v>73</v>
      </c>
      <c r="G1413" s="35">
        <f>G1414</f>
        <v>3000</v>
      </c>
      <c r="H1413" s="35">
        <f t="shared" si="643"/>
        <v>3000</v>
      </c>
      <c r="I1413" s="35">
        <f t="shared" si="643"/>
        <v>1006.032</v>
      </c>
      <c r="J1413" s="35">
        <f t="shared" si="643"/>
        <v>1006.032</v>
      </c>
      <c r="K1413" s="35">
        <f t="shared" si="643"/>
        <v>1006.032</v>
      </c>
      <c r="L1413" s="35">
        <f t="shared" si="631"/>
        <v>33.534400000000005</v>
      </c>
      <c r="M1413" s="35">
        <f t="shared" si="632"/>
        <v>100</v>
      </c>
    </row>
    <row r="1414" spans="1:13" ht="51">
      <c r="A1414" s="59" t="s">
        <v>218</v>
      </c>
      <c r="B1414" s="28" t="s">
        <v>481</v>
      </c>
      <c r="C1414" s="28" t="s">
        <v>19</v>
      </c>
      <c r="D1414" s="28" t="s">
        <v>93</v>
      </c>
      <c r="E1414" s="28" t="s">
        <v>561</v>
      </c>
      <c r="F1414" s="28" t="s">
        <v>219</v>
      </c>
      <c r="G1414" s="35">
        <v>3000</v>
      </c>
      <c r="H1414" s="35">
        <v>3000</v>
      </c>
      <c r="I1414" s="35">
        <v>1006.032</v>
      </c>
      <c r="J1414" s="35">
        <v>1006.032</v>
      </c>
      <c r="K1414" s="35">
        <v>1006.032</v>
      </c>
      <c r="L1414" s="35">
        <f t="shared" si="631"/>
        <v>33.534400000000005</v>
      </c>
      <c r="M1414" s="35">
        <f t="shared" si="632"/>
        <v>100</v>
      </c>
    </row>
    <row r="1415" spans="1:13" ht="51">
      <c r="A1415" s="59" t="s">
        <v>562</v>
      </c>
      <c r="B1415" s="28" t="s">
        <v>481</v>
      </c>
      <c r="C1415" s="28" t="s">
        <v>19</v>
      </c>
      <c r="D1415" s="28" t="s">
        <v>93</v>
      </c>
      <c r="E1415" s="28" t="s">
        <v>563</v>
      </c>
      <c r="F1415" s="58" t="s">
        <v>0</v>
      </c>
      <c r="G1415" s="35">
        <f>G1416</f>
        <v>500</v>
      </c>
      <c r="H1415" s="35">
        <f t="shared" ref="H1415:K1416" si="644">H1416</f>
        <v>500</v>
      </c>
      <c r="I1415" s="35">
        <f t="shared" si="644"/>
        <v>500</v>
      </c>
      <c r="J1415" s="35">
        <f t="shared" si="644"/>
        <v>0</v>
      </c>
      <c r="K1415" s="35">
        <f t="shared" si="644"/>
        <v>0</v>
      </c>
      <c r="L1415" s="35">
        <f t="shared" si="631"/>
        <v>0</v>
      </c>
      <c r="M1415" s="35">
        <f t="shared" si="632"/>
        <v>0</v>
      </c>
    </row>
    <row r="1416" spans="1:13">
      <c r="A1416" s="59" t="s">
        <v>72</v>
      </c>
      <c r="B1416" s="28" t="s">
        <v>481</v>
      </c>
      <c r="C1416" s="28" t="s">
        <v>19</v>
      </c>
      <c r="D1416" s="28" t="s">
        <v>93</v>
      </c>
      <c r="E1416" s="28" t="s">
        <v>563</v>
      </c>
      <c r="F1416" s="28" t="s">
        <v>73</v>
      </c>
      <c r="G1416" s="35">
        <f>G1417</f>
        <v>500</v>
      </c>
      <c r="H1416" s="35">
        <f t="shared" si="644"/>
        <v>500</v>
      </c>
      <c r="I1416" s="35">
        <f t="shared" si="644"/>
        <v>500</v>
      </c>
      <c r="J1416" s="35">
        <f t="shared" si="644"/>
        <v>0</v>
      </c>
      <c r="K1416" s="35">
        <f t="shared" si="644"/>
        <v>0</v>
      </c>
      <c r="L1416" s="35">
        <f t="shared" si="631"/>
        <v>0</v>
      </c>
      <c r="M1416" s="35">
        <f t="shared" si="632"/>
        <v>0</v>
      </c>
    </row>
    <row r="1417" spans="1:13" ht="51">
      <c r="A1417" s="59" t="s">
        <v>218</v>
      </c>
      <c r="B1417" s="28" t="s">
        <v>481</v>
      </c>
      <c r="C1417" s="28" t="s">
        <v>19</v>
      </c>
      <c r="D1417" s="28" t="s">
        <v>93</v>
      </c>
      <c r="E1417" s="28" t="s">
        <v>563</v>
      </c>
      <c r="F1417" s="28" t="s">
        <v>219</v>
      </c>
      <c r="G1417" s="35">
        <v>500</v>
      </c>
      <c r="H1417" s="35">
        <v>500</v>
      </c>
      <c r="I1417" s="35">
        <v>500</v>
      </c>
      <c r="J1417" s="35">
        <v>0</v>
      </c>
      <c r="K1417" s="35">
        <v>0</v>
      </c>
      <c r="L1417" s="35">
        <f t="shared" si="631"/>
        <v>0</v>
      </c>
      <c r="M1417" s="35">
        <f t="shared" si="632"/>
        <v>0</v>
      </c>
    </row>
    <row r="1418" spans="1:13" ht="51">
      <c r="A1418" s="59" t="s">
        <v>564</v>
      </c>
      <c r="B1418" s="28" t="s">
        <v>481</v>
      </c>
      <c r="C1418" s="28" t="s">
        <v>19</v>
      </c>
      <c r="D1418" s="28" t="s">
        <v>93</v>
      </c>
      <c r="E1418" s="28" t="s">
        <v>565</v>
      </c>
      <c r="F1418" s="58" t="s">
        <v>0</v>
      </c>
      <c r="G1418" s="35">
        <f>G1419</f>
        <v>5000</v>
      </c>
      <c r="H1418" s="35">
        <f t="shared" ref="H1418:K1419" si="645">H1419</f>
        <v>5000</v>
      </c>
      <c r="I1418" s="35">
        <f t="shared" si="645"/>
        <v>1093.8599999999999</v>
      </c>
      <c r="J1418" s="35">
        <f t="shared" si="645"/>
        <v>1093.8599999999999</v>
      </c>
      <c r="K1418" s="35">
        <f t="shared" si="645"/>
        <v>1093.8599999999999</v>
      </c>
      <c r="L1418" s="35">
        <f t="shared" si="631"/>
        <v>21.877199999999995</v>
      </c>
      <c r="M1418" s="35">
        <f t="shared" si="632"/>
        <v>100</v>
      </c>
    </row>
    <row r="1419" spans="1:13">
      <c r="A1419" s="59" t="s">
        <v>72</v>
      </c>
      <c r="B1419" s="28" t="s">
        <v>481</v>
      </c>
      <c r="C1419" s="28" t="s">
        <v>19</v>
      </c>
      <c r="D1419" s="28" t="s">
        <v>93</v>
      </c>
      <c r="E1419" s="28" t="s">
        <v>565</v>
      </c>
      <c r="F1419" s="28" t="s">
        <v>73</v>
      </c>
      <c r="G1419" s="35">
        <f>G1420</f>
        <v>5000</v>
      </c>
      <c r="H1419" s="35">
        <f t="shared" si="645"/>
        <v>5000</v>
      </c>
      <c r="I1419" s="35">
        <f t="shared" si="645"/>
        <v>1093.8599999999999</v>
      </c>
      <c r="J1419" s="35">
        <f t="shared" si="645"/>
        <v>1093.8599999999999</v>
      </c>
      <c r="K1419" s="35">
        <f t="shared" si="645"/>
        <v>1093.8599999999999</v>
      </c>
      <c r="L1419" s="35">
        <f t="shared" si="631"/>
        <v>21.877199999999995</v>
      </c>
      <c r="M1419" s="35">
        <f t="shared" si="632"/>
        <v>100</v>
      </c>
    </row>
    <row r="1420" spans="1:13" ht="51">
      <c r="A1420" s="59" t="s">
        <v>218</v>
      </c>
      <c r="B1420" s="28" t="s">
        <v>481</v>
      </c>
      <c r="C1420" s="28" t="s">
        <v>19</v>
      </c>
      <c r="D1420" s="28" t="s">
        <v>93</v>
      </c>
      <c r="E1420" s="28" t="s">
        <v>565</v>
      </c>
      <c r="F1420" s="28" t="s">
        <v>219</v>
      </c>
      <c r="G1420" s="35">
        <v>5000</v>
      </c>
      <c r="H1420" s="35">
        <v>5000</v>
      </c>
      <c r="I1420" s="35">
        <v>1093.8599999999999</v>
      </c>
      <c r="J1420" s="35">
        <v>1093.8599999999999</v>
      </c>
      <c r="K1420" s="35">
        <v>1093.8599999999999</v>
      </c>
      <c r="L1420" s="35">
        <f t="shared" si="631"/>
        <v>21.877199999999995</v>
      </c>
      <c r="M1420" s="35">
        <f t="shared" si="632"/>
        <v>100</v>
      </c>
    </row>
    <row r="1421" spans="1:13" ht="38.25">
      <c r="A1421" s="59" t="s">
        <v>566</v>
      </c>
      <c r="B1421" s="28" t="s">
        <v>481</v>
      </c>
      <c r="C1421" s="28" t="s">
        <v>19</v>
      </c>
      <c r="D1421" s="28" t="s">
        <v>93</v>
      </c>
      <c r="E1421" s="28" t="s">
        <v>567</v>
      </c>
      <c r="F1421" s="58" t="s">
        <v>0</v>
      </c>
      <c r="G1421" s="35">
        <f>G1422</f>
        <v>2100</v>
      </c>
      <c r="H1421" s="35">
        <f t="shared" ref="H1421:K1422" si="646">H1422</f>
        <v>2100</v>
      </c>
      <c r="I1421" s="35">
        <f t="shared" si="646"/>
        <v>380.97800000000001</v>
      </c>
      <c r="J1421" s="35">
        <f t="shared" si="646"/>
        <v>380.97800000000001</v>
      </c>
      <c r="K1421" s="35">
        <f t="shared" si="646"/>
        <v>380.97800000000001</v>
      </c>
      <c r="L1421" s="35">
        <f t="shared" si="631"/>
        <v>18.141809523809524</v>
      </c>
      <c r="M1421" s="35">
        <f t="shared" si="632"/>
        <v>100</v>
      </c>
    </row>
    <row r="1422" spans="1:13">
      <c r="A1422" s="59" t="s">
        <v>72</v>
      </c>
      <c r="B1422" s="28" t="s">
        <v>481</v>
      </c>
      <c r="C1422" s="28" t="s">
        <v>19</v>
      </c>
      <c r="D1422" s="28" t="s">
        <v>93</v>
      </c>
      <c r="E1422" s="28" t="s">
        <v>567</v>
      </c>
      <c r="F1422" s="28" t="s">
        <v>73</v>
      </c>
      <c r="G1422" s="35">
        <f>G1423</f>
        <v>2100</v>
      </c>
      <c r="H1422" s="35">
        <f t="shared" si="646"/>
        <v>2100</v>
      </c>
      <c r="I1422" s="35">
        <f t="shared" si="646"/>
        <v>380.97800000000001</v>
      </c>
      <c r="J1422" s="35">
        <f t="shared" si="646"/>
        <v>380.97800000000001</v>
      </c>
      <c r="K1422" s="35">
        <f t="shared" si="646"/>
        <v>380.97800000000001</v>
      </c>
      <c r="L1422" s="35">
        <f t="shared" si="631"/>
        <v>18.141809523809524</v>
      </c>
      <c r="M1422" s="35">
        <f t="shared" si="632"/>
        <v>100</v>
      </c>
    </row>
    <row r="1423" spans="1:13" ht="51">
      <c r="A1423" s="59" t="s">
        <v>218</v>
      </c>
      <c r="B1423" s="28" t="s">
        <v>481</v>
      </c>
      <c r="C1423" s="28" t="s">
        <v>19</v>
      </c>
      <c r="D1423" s="28" t="s">
        <v>93</v>
      </c>
      <c r="E1423" s="28" t="s">
        <v>567</v>
      </c>
      <c r="F1423" s="28" t="s">
        <v>219</v>
      </c>
      <c r="G1423" s="35">
        <v>2100</v>
      </c>
      <c r="H1423" s="35">
        <v>2100</v>
      </c>
      <c r="I1423" s="35">
        <v>380.97800000000001</v>
      </c>
      <c r="J1423" s="35">
        <v>380.97800000000001</v>
      </c>
      <c r="K1423" s="35">
        <v>380.97800000000001</v>
      </c>
      <c r="L1423" s="35">
        <f t="shared" si="631"/>
        <v>18.141809523809524</v>
      </c>
      <c r="M1423" s="35">
        <f t="shared" si="632"/>
        <v>100</v>
      </c>
    </row>
    <row r="1424" spans="1:13" ht="51">
      <c r="A1424" s="59" t="s">
        <v>568</v>
      </c>
      <c r="B1424" s="28" t="s">
        <v>481</v>
      </c>
      <c r="C1424" s="28" t="s">
        <v>19</v>
      </c>
      <c r="D1424" s="28" t="s">
        <v>93</v>
      </c>
      <c r="E1424" s="28" t="s">
        <v>569</v>
      </c>
      <c r="F1424" s="58" t="s">
        <v>0</v>
      </c>
      <c r="G1424" s="35">
        <f>G1425</f>
        <v>11400</v>
      </c>
      <c r="H1424" s="35">
        <f t="shared" ref="H1424:K1425" si="647">H1425</f>
        <v>11400</v>
      </c>
      <c r="I1424" s="35">
        <f t="shared" si="647"/>
        <v>8470.0939999999991</v>
      </c>
      <c r="J1424" s="35">
        <f t="shared" si="647"/>
        <v>8470.0939999999991</v>
      </c>
      <c r="K1424" s="35">
        <f t="shared" si="647"/>
        <v>8470.0939999999991</v>
      </c>
      <c r="L1424" s="35">
        <f t="shared" si="631"/>
        <v>74.299070175438587</v>
      </c>
      <c r="M1424" s="35">
        <f t="shared" si="632"/>
        <v>100</v>
      </c>
    </row>
    <row r="1425" spans="1:13">
      <c r="A1425" s="59" t="s">
        <v>72</v>
      </c>
      <c r="B1425" s="28" t="s">
        <v>481</v>
      </c>
      <c r="C1425" s="28" t="s">
        <v>19</v>
      </c>
      <c r="D1425" s="28" t="s">
        <v>93</v>
      </c>
      <c r="E1425" s="28" t="s">
        <v>569</v>
      </c>
      <c r="F1425" s="28" t="s">
        <v>73</v>
      </c>
      <c r="G1425" s="35">
        <f>G1426</f>
        <v>11400</v>
      </c>
      <c r="H1425" s="35">
        <f t="shared" si="647"/>
        <v>11400</v>
      </c>
      <c r="I1425" s="35">
        <f t="shared" si="647"/>
        <v>8470.0939999999991</v>
      </c>
      <c r="J1425" s="35">
        <f t="shared" si="647"/>
        <v>8470.0939999999991</v>
      </c>
      <c r="K1425" s="35">
        <f t="shared" si="647"/>
        <v>8470.0939999999991</v>
      </c>
      <c r="L1425" s="35">
        <f t="shared" si="631"/>
        <v>74.299070175438587</v>
      </c>
      <c r="M1425" s="35">
        <f t="shared" si="632"/>
        <v>100</v>
      </c>
    </row>
    <row r="1426" spans="1:13" ht="51">
      <c r="A1426" s="59" t="s">
        <v>218</v>
      </c>
      <c r="B1426" s="28" t="s">
        <v>481</v>
      </c>
      <c r="C1426" s="28" t="s">
        <v>19</v>
      </c>
      <c r="D1426" s="28" t="s">
        <v>93</v>
      </c>
      <c r="E1426" s="28" t="s">
        <v>569</v>
      </c>
      <c r="F1426" s="28" t="s">
        <v>219</v>
      </c>
      <c r="G1426" s="35">
        <v>11400</v>
      </c>
      <c r="H1426" s="35">
        <v>11400</v>
      </c>
      <c r="I1426" s="35">
        <v>8470.0939999999991</v>
      </c>
      <c r="J1426" s="35">
        <v>8470.0939999999991</v>
      </c>
      <c r="K1426" s="35">
        <v>8470.0939999999991</v>
      </c>
      <c r="L1426" s="35">
        <f t="shared" si="631"/>
        <v>74.299070175438587</v>
      </c>
      <c r="M1426" s="35">
        <f t="shared" si="632"/>
        <v>100</v>
      </c>
    </row>
    <row r="1427" spans="1:13" ht="25.5">
      <c r="A1427" s="59" t="s">
        <v>570</v>
      </c>
      <c r="B1427" s="28" t="s">
        <v>481</v>
      </c>
      <c r="C1427" s="28" t="s">
        <v>19</v>
      </c>
      <c r="D1427" s="28" t="s">
        <v>93</v>
      </c>
      <c r="E1427" s="28" t="s">
        <v>571</v>
      </c>
      <c r="F1427" s="58" t="s">
        <v>0</v>
      </c>
      <c r="G1427" s="35">
        <f>G1428</f>
        <v>51635</v>
      </c>
      <c r="H1427" s="35">
        <f t="shared" ref="H1427:K1428" si="648">H1428</f>
        <v>51635</v>
      </c>
      <c r="I1427" s="35">
        <f t="shared" si="648"/>
        <v>39917.428999999996</v>
      </c>
      <c r="J1427" s="35">
        <f t="shared" si="648"/>
        <v>39917.428999999996</v>
      </c>
      <c r="K1427" s="35">
        <f t="shared" si="648"/>
        <v>39917.428999999996</v>
      </c>
      <c r="L1427" s="35">
        <f t="shared" si="631"/>
        <v>77.306921661663594</v>
      </c>
      <c r="M1427" s="35">
        <f t="shared" si="632"/>
        <v>100</v>
      </c>
    </row>
    <row r="1428" spans="1:13">
      <c r="A1428" s="59" t="s">
        <v>72</v>
      </c>
      <c r="B1428" s="28" t="s">
        <v>481</v>
      </c>
      <c r="C1428" s="28" t="s">
        <v>19</v>
      </c>
      <c r="D1428" s="28" t="s">
        <v>93</v>
      </c>
      <c r="E1428" s="28" t="s">
        <v>571</v>
      </c>
      <c r="F1428" s="28" t="s">
        <v>73</v>
      </c>
      <c r="G1428" s="35">
        <f>G1429</f>
        <v>51635</v>
      </c>
      <c r="H1428" s="35">
        <f t="shared" si="648"/>
        <v>51635</v>
      </c>
      <c r="I1428" s="35">
        <f t="shared" si="648"/>
        <v>39917.428999999996</v>
      </c>
      <c r="J1428" s="35">
        <f t="shared" si="648"/>
        <v>39917.428999999996</v>
      </c>
      <c r="K1428" s="35">
        <f t="shared" si="648"/>
        <v>39917.428999999996</v>
      </c>
      <c r="L1428" s="35">
        <f t="shared" si="631"/>
        <v>77.306921661663594</v>
      </c>
      <c r="M1428" s="35">
        <f t="shared" si="632"/>
        <v>100</v>
      </c>
    </row>
    <row r="1429" spans="1:13" ht="51">
      <c r="A1429" s="59" t="s">
        <v>218</v>
      </c>
      <c r="B1429" s="28" t="s">
        <v>481</v>
      </c>
      <c r="C1429" s="28" t="s">
        <v>19</v>
      </c>
      <c r="D1429" s="28" t="s">
        <v>93</v>
      </c>
      <c r="E1429" s="28" t="s">
        <v>571</v>
      </c>
      <c r="F1429" s="28" t="s">
        <v>219</v>
      </c>
      <c r="G1429" s="35">
        <v>51635</v>
      </c>
      <c r="H1429" s="35">
        <v>51635</v>
      </c>
      <c r="I1429" s="35">
        <v>39917.428999999996</v>
      </c>
      <c r="J1429" s="35">
        <v>39917.428999999996</v>
      </c>
      <c r="K1429" s="35">
        <v>39917.428999999996</v>
      </c>
      <c r="L1429" s="35">
        <f t="shared" si="631"/>
        <v>77.306921661663594</v>
      </c>
      <c r="M1429" s="35">
        <f t="shared" si="632"/>
        <v>100</v>
      </c>
    </row>
    <row r="1430" spans="1:13" ht="63.75">
      <c r="A1430" s="59" t="s">
        <v>572</v>
      </c>
      <c r="B1430" s="28" t="s">
        <v>481</v>
      </c>
      <c r="C1430" s="28" t="s">
        <v>19</v>
      </c>
      <c r="D1430" s="28" t="s">
        <v>93</v>
      </c>
      <c r="E1430" s="28" t="s">
        <v>573</v>
      </c>
      <c r="F1430" s="58" t="s">
        <v>0</v>
      </c>
      <c r="G1430" s="35">
        <f>G1431</f>
        <v>50</v>
      </c>
      <c r="H1430" s="35">
        <f t="shared" ref="H1430:K1431" si="649">H1431</f>
        <v>50</v>
      </c>
      <c r="I1430" s="35">
        <f t="shared" si="649"/>
        <v>0</v>
      </c>
      <c r="J1430" s="35">
        <f t="shared" si="649"/>
        <v>0</v>
      </c>
      <c r="K1430" s="35">
        <f t="shared" si="649"/>
        <v>0</v>
      </c>
      <c r="L1430" s="35">
        <f t="shared" si="631"/>
        <v>0</v>
      </c>
      <c r="M1430" s="35">
        <v>0</v>
      </c>
    </row>
    <row r="1431" spans="1:13">
      <c r="A1431" s="59" t="s">
        <v>72</v>
      </c>
      <c r="B1431" s="28" t="s">
        <v>481</v>
      </c>
      <c r="C1431" s="28" t="s">
        <v>19</v>
      </c>
      <c r="D1431" s="28" t="s">
        <v>93</v>
      </c>
      <c r="E1431" s="28" t="s">
        <v>573</v>
      </c>
      <c r="F1431" s="28" t="s">
        <v>73</v>
      </c>
      <c r="G1431" s="35">
        <f>G1432</f>
        <v>50</v>
      </c>
      <c r="H1431" s="35">
        <f t="shared" si="649"/>
        <v>50</v>
      </c>
      <c r="I1431" s="35">
        <f t="shared" si="649"/>
        <v>0</v>
      </c>
      <c r="J1431" s="35">
        <f t="shared" si="649"/>
        <v>0</v>
      </c>
      <c r="K1431" s="35">
        <f t="shared" si="649"/>
        <v>0</v>
      </c>
      <c r="L1431" s="35">
        <f t="shared" si="631"/>
        <v>0</v>
      </c>
      <c r="M1431" s="35">
        <v>0</v>
      </c>
    </row>
    <row r="1432" spans="1:13" ht="51">
      <c r="A1432" s="59" t="s">
        <v>218</v>
      </c>
      <c r="B1432" s="28" t="s">
        <v>481</v>
      </c>
      <c r="C1432" s="28" t="s">
        <v>19</v>
      </c>
      <c r="D1432" s="28" t="s">
        <v>93</v>
      </c>
      <c r="E1432" s="28" t="s">
        <v>573</v>
      </c>
      <c r="F1432" s="28" t="s">
        <v>219</v>
      </c>
      <c r="G1432" s="35">
        <v>50</v>
      </c>
      <c r="H1432" s="35">
        <v>50</v>
      </c>
      <c r="I1432" s="35">
        <v>0</v>
      </c>
      <c r="J1432" s="35">
        <v>0</v>
      </c>
      <c r="K1432" s="35">
        <v>0</v>
      </c>
      <c r="L1432" s="35">
        <f t="shared" si="631"/>
        <v>0</v>
      </c>
      <c r="M1432" s="35">
        <v>0</v>
      </c>
    </row>
    <row r="1433" spans="1:13" ht="51">
      <c r="A1433" s="59" t="s">
        <v>574</v>
      </c>
      <c r="B1433" s="28" t="s">
        <v>481</v>
      </c>
      <c r="C1433" s="28" t="s">
        <v>19</v>
      </c>
      <c r="D1433" s="28" t="s">
        <v>93</v>
      </c>
      <c r="E1433" s="28" t="s">
        <v>575</v>
      </c>
      <c r="F1433" s="58" t="s">
        <v>0</v>
      </c>
      <c r="G1433" s="35">
        <f>G1434</f>
        <v>2050</v>
      </c>
      <c r="H1433" s="35">
        <f t="shared" ref="H1433:K1434" si="650">H1434</f>
        <v>2050</v>
      </c>
      <c r="I1433" s="35">
        <f t="shared" si="650"/>
        <v>1443.9159999999999</v>
      </c>
      <c r="J1433" s="35">
        <f t="shared" si="650"/>
        <v>1443.9159999999999</v>
      </c>
      <c r="K1433" s="35">
        <f t="shared" si="650"/>
        <v>1443.9159999999999</v>
      </c>
      <c r="L1433" s="35">
        <f t="shared" si="631"/>
        <v>70.434926829268278</v>
      </c>
      <c r="M1433" s="35">
        <f t="shared" si="632"/>
        <v>100</v>
      </c>
    </row>
    <row r="1434" spans="1:13">
      <c r="A1434" s="59" t="s">
        <v>72</v>
      </c>
      <c r="B1434" s="28" t="s">
        <v>481</v>
      </c>
      <c r="C1434" s="28" t="s">
        <v>19</v>
      </c>
      <c r="D1434" s="28" t="s">
        <v>93</v>
      </c>
      <c r="E1434" s="28" t="s">
        <v>575</v>
      </c>
      <c r="F1434" s="28" t="s">
        <v>73</v>
      </c>
      <c r="G1434" s="35">
        <f>G1435</f>
        <v>2050</v>
      </c>
      <c r="H1434" s="35">
        <f t="shared" si="650"/>
        <v>2050</v>
      </c>
      <c r="I1434" s="35">
        <f t="shared" si="650"/>
        <v>1443.9159999999999</v>
      </c>
      <c r="J1434" s="35">
        <f t="shared" si="650"/>
        <v>1443.9159999999999</v>
      </c>
      <c r="K1434" s="35">
        <f t="shared" si="650"/>
        <v>1443.9159999999999</v>
      </c>
      <c r="L1434" s="35">
        <f t="shared" si="631"/>
        <v>70.434926829268278</v>
      </c>
      <c r="M1434" s="35">
        <f t="shared" si="632"/>
        <v>100</v>
      </c>
    </row>
    <row r="1435" spans="1:13" ht="51">
      <c r="A1435" s="59" t="s">
        <v>218</v>
      </c>
      <c r="B1435" s="28" t="s">
        <v>481</v>
      </c>
      <c r="C1435" s="28" t="s">
        <v>19</v>
      </c>
      <c r="D1435" s="28" t="s">
        <v>93</v>
      </c>
      <c r="E1435" s="28" t="s">
        <v>575</v>
      </c>
      <c r="F1435" s="28" t="s">
        <v>219</v>
      </c>
      <c r="G1435" s="35">
        <v>2050</v>
      </c>
      <c r="H1435" s="35">
        <v>2050</v>
      </c>
      <c r="I1435" s="35">
        <v>1443.9159999999999</v>
      </c>
      <c r="J1435" s="35">
        <v>1443.9159999999999</v>
      </c>
      <c r="K1435" s="35">
        <v>1443.9159999999999</v>
      </c>
      <c r="L1435" s="35">
        <f t="shared" si="631"/>
        <v>70.434926829268278</v>
      </c>
      <c r="M1435" s="35">
        <f t="shared" si="632"/>
        <v>100</v>
      </c>
    </row>
    <row r="1436" spans="1:13" ht="25.5">
      <c r="A1436" s="59" t="s">
        <v>576</v>
      </c>
      <c r="B1436" s="28" t="s">
        <v>481</v>
      </c>
      <c r="C1436" s="28" t="s">
        <v>19</v>
      </c>
      <c r="D1436" s="28" t="s">
        <v>93</v>
      </c>
      <c r="E1436" s="28" t="s">
        <v>577</v>
      </c>
      <c r="F1436" s="58" t="s">
        <v>0</v>
      </c>
      <c r="G1436" s="35">
        <f>G1437+G1440+G1443+G1446</f>
        <v>3433.8</v>
      </c>
      <c r="H1436" s="35">
        <f t="shared" ref="H1436:K1436" si="651">H1437+H1440+H1443+H1446</f>
        <v>3433.8</v>
      </c>
      <c r="I1436" s="35">
        <f t="shared" si="651"/>
        <v>1216.9000000000001</v>
      </c>
      <c r="J1436" s="35">
        <f t="shared" si="651"/>
        <v>1216.9000000000001</v>
      </c>
      <c r="K1436" s="35">
        <f t="shared" si="651"/>
        <v>1216.9000000000001</v>
      </c>
      <c r="L1436" s="35">
        <f t="shared" si="631"/>
        <v>35.438872386277595</v>
      </c>
      <c r="M1436" s="35">
        <f t="shared" si="632"/>
        <v>100</v>
      </c>
    </row>
    <row r="1437" spans="1:13" ht="89.25">
      <c r="A1437" s="59" t="s">
        <v>578</v>
      </c>
      <c r="B1437" s="28" t="s">
        <v>481</v>
      </c>
      <c r="C1437" s="28" t="s">
        <v>19</v>
      </c>
      <c r="D1437" s="28" t="s">
        <v>93</v>
      </c>
      <c r="E1437" s="28" t="s">
        <v>579</v>
      </c>
      <c r="F1437" s="58" t="s">
        <v>0</v>
      </c>
      <c r="G1437" s="35">
        <f>G1438</f>
        <v>433.8</v>
      </c>
      <c r="H1437" s="35">
        <f t="shared" ref="H1437:K1437" si="652">H1438</f>
        <v>433.8</v>
      </c>
      <c r="I1437" s="35">
        <f t="shared" si="652"/>
        <v>216.9</v>
      </c>
      <c r="J1437" s="35">
        <f t="shared" si="652"/>
        <v>216.9</v>
      </c>
      <c r="K1437" s="35">
        <f t="shared" si="652"/>
        <v>216.9</v>
      </c>
      <c r="L1437" s="35">
        <f t="shared" si="631"/>
        <v>50</v>
      </c>
      <c r="M1437" s="35">
        <f t="shared" si="632"/>
        <v>100</v>
      </c>
    </row>
    <row r="1438" spans="1:13" ht="25.5">
      <c r="A1438" s="59" t="s">
        <v>64</v>
      </c>
      <c r="B1438" s="28" t="s">
        <v>481</v>
      </c>
      <c r="C1438" s="28" t="s">
        <v>19</v>
      </c>
      <c r="D1438" s="28" t="s">
        <v>93</v>
      </c>
      <c r="E1438" s="28" t="s">
        <v>579</v>
      </c>
      <c r="F1438" s="28" t="s">
        <v>65</v>
      </c>
      <c r="G1438" s="35">
        <f>G1439</f>
        <v>433.8</v>
      </c>
      <c r="H1438" s="35">
        <f t="shared" ref="H1438:K1438" si="653">H1439</f>
        <v>433.8</v>
      </c>
      <c r="I1438" s="35">
        <f t="shared" si="653"/>
        <v>216.9</v>
      </c>
      <c r="J1438" s="35">
        <f t="shared" si="653"/>
        <v>216.9</v>
      </c>
      <c r="K1438" s="35">
        <f t="shared" si="653"/>
        <v>216.9</v>
      </c>
      <c r="L1438" s="35">
        <f t="shared" si="631"/>
        <v>50</v>
      </c>
      <c r="M1438" s="35">
        <f t="shared" si="632"/>
        <v>100</v>
      </c>
    </row>
    <row r="1439" spans="1:13" ht="25.5">
      <c r="A1439" s="59" t="s">
        <v>66</v>
      </c>
      <c r="B1439" s="28" t="s">
        <v>481</v>
      </c>
      <c r="C1439" s="28" t="s">
        <v>19</v>
      </c>
      <c r="D1439" s="28" t="s">
        <v>93</v>
      </c>
      <c r="E1439" s="28" t="s">
        <v>579</v>
      </c>
      <c r="F1439" s="28" t="s">
        <v>67</v>
      </c>
      <c r="G1439" s="35">
        <v>433.8</v>
      </c>
      <c r="H1439" s="35">
        <v>433.8</v>
      </c>
      <c r="I1439" s="35">
        <v>216.9</v>
      </c>
      <c r="J1439" s="35">
        <v>216.9</v>
      </c>
      <c r="K1439" s="35">
        <v>216.9</v>
      </c>
      <c r="L1439" s="35">
        <f t="shared" si="631"/>
        <v>50</v>
      </c>
      <c r="M1439" s="35">
        <f t="shared" si="632"/>
        <v>100</v>
      </c>
    </row>
    <row r="1440" spans="1:13" ht="51">
      <c r="A1440" s="59" t="s">
        <v>580</v>
      </c>
      <c r="B1440" s="28" t="s">
        <v>481</v>
      </c>
      <c r="C1440" s="28" t="s">
        <v>19</v>
      </c>
      <c r="D1440" s="28" t="s">
        <v>93</v>
      </c>
      <c r="E1440" s="28" t="s">
        <v>581</v>
      </c>
      <c r="F1440" s="58" t="s">
        <v>0</v>
      </c>
      <c r="G1440" s="35">
        <f>G1441</f>
        <v>3000</v>
      </c>
      <c r="H1440" s="35">
        <f t="shared" ref="H1440:K1441" si="654">H1441</f>
        <v>3000</v>
      </c>
      <c r="I1440" s="35">
        <f t="shared" si="654"/>
        <v>1000</v>
      </c>
      <c r="J1440" s="35">
        <f t="shared" si="654"/>
        <v>1000</v>
      </c>
      <c r="K1440" s="35">
        <f t="shared" si="654"/>
        <v>1000</v>
      </c>
      <c r="L1440" s="35">
        <f t="shared" si="631"/>
        <v>33.333333333333329</v>
      </c>
      <c r="M1440" s="35">
        <f t="shared" si="632"/>
        <v>100</v>
      </c>
    </row>
    <row r="1441" spans="1:13">
      <c r="A1441" s="59" t="s">
        <v>72</v>
      </c>
      <c r="B1441" s="28" t="s">
        <v>481</v>
      </c>
      <c r="C1441" s="28" t="s">
        <v>19</v>
      </c>
      <c r="D1441" s="28" t="s">
        <v>93</v>
      </c>
      <c r="E1441" s="28" t="s">
        <v>581</v>
      </c>
      <c r="F1441" s="28" t="s">
        <v>73</v>
      </c>
      <c r="G1441" s="35">
        <f>G1442</f>
        <v>3000</v>
      </c>
      <c r="H1441" s="35">
        <f>H1442</f>
        <v>3000</v>
      </c>
      <c r="I1441" s="35">
        <f t="shared" si="654"/>
        <v>1000</v>
      </c>
      <c r="J1441" s="35">
        <f t="shared" si="654"/>
        <v>1000</v>
      </c>
      <c r="K1441" s="35">
        <f t="shared" si="654"/>
        <v>1000</v>
      </c>
      <c r="L1441" s="35">
        <f t="shared" si="631"/>
        <v>33.333333333333329</v>
      </c>
      <c r="M1441" s="35">
        <f t="shared" si="632"/>
        <v>100</v>
      </c>
    </row>
    <row r="1442" spans="1:13" ht="51">
      <c r="A1442" s="59" t="s">
        <v>218</v>
      </c>
      <c r="B1442" s="28" t="s">
        <v>481</v>
      </c>
      <c r="C1442" s="28" t="s">
        <v>19</v>
      </c>
      <c r="D1442" s="28" t="s">
        <v>93</v>
      </c>
      <c r="E1442" s="28" t="s">
        <v>581</v>
      </c>
      <c r="F1442" s="28" t="s">
        <v>219</v>
      </c>
      <c r="G1442" s="35">
        <v>3000</v>
      </c>
      <c r="H1442" s="35">
        <v>3000</v>
      </c>
      <c r="I1442" s="35">
        <v>1000</v>
      </c>
      <c r="J1442" s="35">
        <v>1000</v>
      </c>
      <c r="K1442" s="35">
        <v>1000</v>
      </c>
      <c r="L1442" s="35">
        <f t="shared" si="631"/>
        <v>33.333333333333329</v>
      </c>
      <c r="M1442" s="35">
        <f t="shared" si="632"/>
        <v>100</v>
      </c>
    </row>
    <row r="1443" spans="1:13" ht="51" hidden="1">
      <c r="A1443" s="59" t="s">
        <v>582</v>
      </c>
      <c r="B1443" s="28" t="s">
        <v>481</v>
      </c>
      <c r="C1443" s="28" t="s">
        <v>19</v>
      </c>
      <c r="D1443" s="28" t="s">
        <v>93</v>
      </c>
      <c r="E1443" s="28" t="s">
        <v>583</v>
      </c>
      <c r="F1443" s="58" t="s">
        <v>0</v>
      </c>
      <c r="G1443" s="35">
        <f>G1444</f>
        <v>0</v>
      </c>
      <c r="H1443" s="35">
        <f t="shared" ref="H1443:K1444" si="655">H1444</f>
        <v>0</v>
      </c>
      <c r="I1443" s="35">
        <f t="shared" si="655"/>
        <v>0</v>
      </c>
      <c r="J1443" s="35">
        <f t="shared" si="655"/>
        <v>0</v>
      </c>
      <c r="K1443" s="35">
        <f t="shared" si="655"/>
        <v>0</v>
      </c>
      <c r="L1443" s="35" t="e">
        <f t="shared" ref="L1443:L1506" si="656">K1443/H1443*100</f>
        <v>#DIV/0!</v>
      </c>
      <c r="M1443" s="35" t="e">
        <f t="shared" ref="M1443:M1506" si="657">K1443/I1443*100</f>
        <v>#DIV/0!</v>
      </c>
    </row>
    <row r="1444" spans="1:13" hidden="1">
      <c r="A1444" s="59" t="s">
        <v>72</v>
      </c>
      <c r="B1444" s="28" t="s">
        <v>481</v>
      </c>
      <c r="C1444" s="28" t="s">
        <v>19</v>
      </c>
      <c r="D1444" s="28" t="s">
        <v>93</v>
      </c>
      <c r="E1444" s="28" t="s">
        <v>583</v>
      </c>
      <c r="F1444" s="28" t="s">
        <v>73</v>
      </c>
      <c r="G1444" s="35">
        <f>G1445</f>
        <v>0</v>
      </c>
      <c r="H1444" s="35">
        <f t="shared" si="655"/>
        <v>0</v>
      </c>
      <c r="I1444" s="35">
        <f t="shared" si="655"/>
        <v>0</v>
      </c>
      <c r="J1444" s="35">
        <f t="shared" si="655"/>
        <v>0</v>
      </c>
      <c r="K1444" s="35">
        <f t="shared" si="655"/>
        <v>0</v>
      </c>
      <c r="L1444" s="35" t="e">
        <f t="shared" si="656"/>
        <v>#DIV/0!</v>
      </c>
      <c r="M1444" s="35" t="e">
        <f t="shared" si="657"/>
        <v>#DIV/0!</v>
      </c>
    </row>
    <row r="1445" spans="1:13" ht="51" hidden="1">
      <c r="A1445" s="59" t="s">
        <v>218</v>
      </c>
      <c r="B1445" s="28" t="s">
        <v>481</v>
      </c>
      <c r="C1445" s="28" t="s">
        <v>19</v>
      </c>
      <c r="D1445" s="28" t="s">
        <v>93</v>
      </c>
      <c r="E1445" s="28" t="s">
        <v>583</v>
      </c>
      <c r="F1445" s="28" t="s">
        <v>219</v>
      </c>
      <c r="G1445" s="35"/>
      <c r="H1445" s="35"/>
      <c r="I1445" s="35"/>
      <c r="J1445" s="35"/>
      <c r="K1445" s="35"/>
      <c r="L1445" s="35" t="e">
        <f t="shared" si="656"/>
        <v>#DIV/0!</v>
      </c>
      <c r="M1445" s="35" t="e">
        <f t="shared" si="657"/>
        <v>#DIV/0!</v>
      </c>
    </row>
    <row r="1446" spans="1:13" ht="102" hidden="1">
      <c r="A1446" s="59" t="s">
        <v>584</v>
      </c>
      <c r="B1446" s="28" t="s">
        <v>481</v>
      </c>
      <c r="C1446" s="28" t="s">
        <v>19</v>
      </c>
      <c r="D1446" s="28" t="s">
        <v>93</v>
      </c>
      <c r="E1446" s="28" t="s">
        <v>585</v>
      </c>
      <c r="F1446" s="58" t="s">
        <v>0</v>
      </c>
      <c r="G1446" s="35">
        <f>G1447</f>
        <v>0</v>
      </c>
      <c r="H1446" s="35">
        <f t="shared" ref="H1446:K1447" si="658">H1447</f>
        <v>0</v>
      </c>
      <c r="I1446" s="35">
        <f t="shared" si="658"/>
        <v>0</v>
      </c>
      <c r="J1446" s="35">
        <f t="shared" si="658"/>
        <v>0</v>
      </c>
      <c r="K1446" s="35">
        <f t="shared" si="658"/>
        <v>0</v>
      </c>
      <c r="L1446" s="35" t="e">
        <f t="shared" si="656"/>
        <v>#DIV/0!</v>
      </c>
      <c r="M1446" s="35" t="e">
        <f t="shared" si="657"/>
        <v>#DIV/0!</v>
      </c>
    </row>
    <row r="1447" spans="1:13" hidden="1">
      <c r="A1447" s="59" t="s">
        <v>72</v>
      </c>
      <c r="B1447" s="28" t="s">
        <v>481</v>
      </c>
      <c r="C1447" s="28" t="s">
        <v>19</v>
      </c>
      <c r="D1447" s="28" t="s">
        <v>93</v>
      </c>
      <c r="E1447" s="28" t="s">
        <v>585</v>
      </c>
      <c r="F1447" s="28" t="s">
        <v>73</v>
      </c>
      <c r="G1447" s="35">
        <f>G1448</f>
        <v>0</v>
      </c>
      <c r="H1447" s="35">
        <f t="shared" si="658"/>
        <v>0</v>
      </c>
      <c r="I1447" s="35">
        <f t="shared" si="658"/>
        <v>0</v>
      </c>
      <c r="J1447" s="35">
        <f t="shared" si="658"/>
        <v>0</v>
      </c>
      <c r="K1447" s="35">
        <f t="shared" si="658"/>
        <v>0</v>
      </c>
      <c r="L1447" s="35" t="e">
        <f t="shared" si="656"/>
        <v>#DIV/0!</v>
      </c>
      <c r="M1447" s="35" t="e">
        <f t="shared" si="657"/>
        <v>#DIV/0!</v>
      </c>
    </row>
    <row r="1448" spans="1:13" ht="51" hidden="1">
      <c r="A1448" s="59" t="s">
        <v>218</v>
      </c>
      <c r="B1448" s="28" t="s">
        <v>481</v>
      </c>
      <c r="C1448" s="28" t="s">
        <v>19</v>
      </c>
      <c r="D1448" s="28" t="s">
        <v>93</v>
      </c>
      <c r="E1448" s="28" t="s">
        <v>585</v>
      </c>
      <c r="F1448" s="28" t="s">
        <v>219</v>
      </c>
      <c r="G1448" s="35"/>
      <c r="H1448" s="35"/>
      <c r="I1448" s="35"/>
      <c r="J1448" s="35"/>
      <c r="K1448" s="35"/>
      <c r="L1448" s="35" t="e">
        <f t="shared" si="656"/>
        <v>#DIV/0!</v>
      </c>
      <c r="M1448" s="35" t="e">
        <f t="shared" si="657"/>
        <v>#DIV/0!</v>
      </c>
    </row>
    <row r="1449" spans="1:13" ht="25.5">
      <c r="A1449" s="59" t="s">
        <v>22</v>
      </c>
      <c r="B1449" s="28" t="s">
        <v>481</v>
      </c>
      <c r="C1449" s="28" t="s">
        <v>19</v>
      </c>
      <c r="D1449" s="28" t="s">
        <v>93</v>
      </c>
      <c r="E1449" s="28" t="s">
        <v>486</v>
      </c>
      <c r="F1449" s="58" t="s">
        <v>0</v>
      </c>
      <c r="G1449" s="35">
        <f>G1450+G1461</f>
        <v>49321.2</v>
      </c>
      <c r="H1449" s="35">
        <f t="shared" ref="H1449:K1449" si="659">H1450+H1461</f>
        <v>49321.200000000004</v>
      </c>
      <c r="I1449" s="35">
        <f t="shared" si="659"/>
        <v>39167.832280000002</v>
      </c>
      <c r="J1449" s="35">
        <f t="shared" si="659"/>
        <v>39042.032279999999</v>
      </c>
      <c r="K1449" s="35">
        <f t="shared" si="659"/>
        <v>34745.898199999996</v>
      </c>
      <c r="L1449" s="35">
        <f t="shared" si="656"/>
        <v>70.448201179208922</v>
      </c>
      <c r="M1449" s="35">
        <f t="shared" si="657"/>
        <v>88.710291525993014</v>
      </c>
    </row>
    <row r="1450" spans="1:13" ht="25.5">
      <c r="A1450" s="59" t="s">
        <v>58</v>
      </c>
      <c r="B1450" s="28" t="s">
        <v>481</v>
      </c>
      <c r="C1450" s="28" t="s">
        <v>19</v>
      </c>
      <c r="D1450" s="28" t="s">
        <v>93</v>
      </c>
      <c r="E1450" s="28" t="s">
        <v>586</v>
      </c>
      <c r="F1450" s="58" t="s">
        <v>0</v>
      </c>
      <c r="G1450" s="35">
        <f>G1451+G1453+G1455+G1458</f>
        <v>48706.6</v>
      </c>
      <c r="H1450" s="35">
        <f t="shared" ref="H1450:K1450" si="660">H1451+H1453+H1455+H1458</f>
        <v>48706.600000000006</v>
      </c>
      <c r="I1450" s="35">
        <f t="shared" si="660"/>
        <v>38706.882280000005</v>
      </c>
      <c r="J1450" s="35">
        <f t="shared" si="660"/>
        <v>38581.082280000002</v>
      </c>
      <c r="K1450" s="35">
        <f t="shared" si="660"/>
        <v>34284.948199999999</v>
      </c>
      <c r="L1450" s="35">
        <f t="shared" si="656"/>
        <v>70.390764701293037</v>
      </c>
      <c r="M1450" s="35">
        <f t="shared" si="657"/>
        <v>88.575845380642207</v>
      </c>
    </row>
    <row r="1451" spans="1:13" ht="63.75">
      <c r="A1451" s="59" t="s">
        <v>60</v>
      </c>
      <c r="B1451" s="28" t="s">
        <v>481</v>
      </c>
      <c r="C1451" s="28" t="s">
        <v>19</v>
      </c>
      <c r="D1451" s="28" t="s">
        <v>93</v>
      </c>
      <c r="E1451" s="28" t="s">
        <v>586</v>
      </c>
      <c r="F1451" s="28" t="s">
        <v>61</v>
      </c>
      <c r="G1451" s="35">
        <f>G1452</f>
        <v>46867.1</v>
      </c>
      <c r="H1451" s="35">
        <f t="shared" ref="H1451:K1451" si="661">H1452</f>
        <v>46797.188300000002</v>
      </c>
      <c r="I1451" s="35">
        <f t="shared" si="661"/>
        <v>37169.188300000002</v>
      </c>
      <c r="J1451" s="35">
        <f t="shared" si="661"/>
        <v>37169.188300000002</v>
      </c>
      <c r="K1451" s="35">
        <f t="shared" si="661"/>
        <v>33055.735289999997</v>
      </c>
      <c r="L1451" s="35">
        <f t="shared" si="656"/>
        <v>70.636156766708993</v>
      </c>
      <c r="M1451" s="35">
        <f t="shared" si="657"/>
        <v>88.933164273592695</v>
      </c>
    </row>
    <row r="1452" spans="1:13" ht="25.5">
      <c r="A1452" s="59" t="s">
        <v>62</v>
      </c>
      <c r="B1452" s="28" t="s">
        <v>481</v>
      </c>
      <c r="C1452" s="28" t="s">
        <v>19</v>
      </c>
      <c r="D1452" s="28" t="s">
        <v>93</v>
      </c>
      <c r="E1452" s="28" t="s">
        <v>586</v>
      </c>
      <c r="F1452" s="28" t="s">
        <v>63</v>
      </c>
      <c r="G1452" s="35">
        <v>46867.1</v>
      </c>
      <c r="H1452" s="35">
        <f>33879.8883+3254.9+9662.4</f>
        <v>46797.188300000002</v>
      </c>
      <c r="I1452" s="35">
        <f>27030.0883+2497+7642.1</f>
        <v>37169.188300000002</v>
      </c>
      <c r="J1452" s="35">
        <f>27030.0883+2497+7642.1</f>
        <v>37169.188300000002</v>
      </c>
      <c r="K1452" s="35">
        <f>23759.36473+2378.08154+6918.28902</f>
        <v>33055.735289999997</v>
      </c>
      <c r="L1452" s="35">
        <f t="shared" si="656"/>
        <v>70.636156766708993</v>
      </c>
      <c r="M1452" s="35">
        <f t="shared" si="657"/>
        <v>88.933164273592695</v>
      </c>
    </row>
    <row r="1453" spans="1:13" ht="25.5">
      <c r="A1453" s="59" t="s">
        <v>64</v>
      </c>
      <c r="B1453" s="28" t="s">
        <v>481</v>
      </c>
      <c r="C1453" s="28" t="s">
        <v>19</v>
      </c>
      <c r="D1453" s="28" t="s">
        <v>93</v>
      </c>
      <c r="E1453" s="28" t="s">
        <v>586</v>
      </c>
      <c r="F1453" s="28" t="s">
        <v>65</v>
      </c>
      <c r="G1453" s="35">
        <f>G1454</f>
        <v>1747.4</v>
      </c>
      <c r="H1453" s="35">
        <f t="shared" ref="H1453:K1453" si="662">H1454</f>
        <v>1747.4</v>
      </c>
      <c r="I1453" s="35">
        <f t="shared" si="662"/>
        <v>1427.4</v>
      </c>
      <c r="J1453" s="35">
        <f t="shared" si="662"/>
        <v>1301.5999999999999</v>
      </c>
      <c r="K1453" s="35">
        <f t="shared" si="662"/>
        <v>1118.9287300000001</v>
      </c>
      <c r="L1453" s="35">
        <f t="shared" si="656"/>
        <v>64.033920682156349</v>
      </c>
      <c r="M1453" s="35">
        <f t="shared" si="657"/>
        <v>78.389290318060816</v>
      </c>
    </row>
    <row r="1454" spans="1:13" ht="25.5">
      <c r="A1454" s="59" t="s">
        <v>66</v>
      </c>
      <c r="B1454" s="28" t="s">
        <v>481</v>
      </c>
      <c r="C1454" s="28" t="s">
        <v>19</v>
      </c>
      <c r="D1454" s="28" t="s">
        <v>93</v>
      </c>
      <c r="E1454" s="28" t="s">
        <v>586</v>
      </c>
      <c r="F1454" s="28" t="s">
        <v>67</v>
      </c>
      <c r="G1454" s="35">
        <v>1747.4</v>
      </c>
      <c r="H1454" s="35">
        <v>1747.4</v>
      </c>
      <c r="I1454" s="35">
        <v>1427.4</v>
      </c>
      <c r="J1454" s="35">
        <v>1301.5999999999999</v>
      </c>
      <c r="K1454" s="35">
        <v>1118.9287300000001</v>
      </c>
      <c r="L1454" s="35">
        <f t="shared" si="656"/>
        <v>64.033920682156349</v>
      </c>
      <c r="M1454" s="35">
        <f t="shared" si="657"/>
        <v>78.389290318060816</v>
      </c>
    </row>
    <row r="1455" spans="1:13">
      <c r="A1455" s="59" t="s">
        <v>68</v>
      </c>
      <c r="B1455" s="28" t="s">
        <v>481</v>
      </c>
      <c r="C1455" s="28" t="s">
        <v>19</v>
      </c>
      <c r="D1455" s="28" t="s">
        <v>93</v>
      </c>
      <c r="E1455" s="28" t="s">
        <v>586</v>
      </c>
      <c r="F1455" s="28" t="s">
        <v>69</v>
      </c>
      <c r="G1455" s="35">
        <f>G1457</f>
        <v>60</v>
      </c>
      <c r="H1455" s="35">
        <f>H1457+H1456</f>
        <v>129.90438</v>
      </c>
      <c r="I1455" s="35">
        <f t="shared" ref="I1455:K1455" si="663">I1457+I1456</f>
        <v>99.904380000000003</v>
      </c>
      <c r="J1455" s="35">
        <f t="shared" si="663"/>
        <v>99.904380000000003</v>
      </c>
      <c r="K1455" s="35">
        <f t="shared" si="663"/>
        <v>99.904380000000003</v>
      </c>
      <c r="L1455" s="35">
        <f t="shared" si="656"/>
        <v>76.906090464386196</v>
      </c>
      <c r="M1455" s="35">
        <f t="shared" si="657"/>
        <v>100</v>
      </c>
    </row>
    <row r="1456" spans="1:13" ht="25.5">
      <c r="A1456" s="59" t="s">
        <v>151</v>
      </c>
      <c r="B1456" s="28" t="s">
        <v>481</v>
      </c>
      <c r="C1456" s="28" t="s">
        <v>19</v>
      </c>
      <c r="D1456" s="28" t="s">
        <v>93</v>
      </c>
      <c r="E1456" s="28" t="s">
        <v>586</v>
      </c>
      <c r="F1456" s="28">
        <v>320</v>
      </c>
      <c r="G1456" s="35"/>
      <c r="H1456" s="35">
        <v>69.904380000000003</v>
      </c>
      <c r="I1456" s="35">
        <v>69.904380000000003</v>
      </c>
      <c r="J1456" s="35">
        <v>69.904380000000003</v>
      </c>
      <c r="K1456" s="35">
        <v>69.904380000000003</v>
      </c>
      <c r="L1456" s="35">
        <f t="shared" si="656"/>
        <v>100</v>
      </c>
      <c r="M1456" s="35">
        <f t="shared" si="657"/>
        <v>100</v>
      </c>
    </row>
    <row r="1457" spans="1:13">
      <c r="A1457" s="59" t="s">
        <v>70</v>
      </c>
      <c r="B1457" s="28" t="s">
        <v>481</v>
      </c>
      <c r="C1457" s="28" t="s">
        <v>19</v>
      </c>
      <c r="D1457" s="28" t="s">
        <v>93</v>
      </c>
      <c r="E1457" s="28" t="s">
        <v>586</v>
      </c>
      <c r="F1457" s="28" t="s">
        <v>71</v>
      </c>
      <c r="G1457" s="35">
        <v>60</v>
      </c>
      <c r="H1457" s="35">
        <v>60</v>
      </c>
      <c r="I1457" s="35">
        <v>30</v>
      </c>
      <c r="J1457" s="35">
        <v>30</v>
      </c>
      <c r="K1457" s="35">
        <v>30</v>
      </c>
      <c r="L1457" s="35">
        <f t="shared" si="656"/>
        <v>50</v>
      </c>
      <c r="M1457" s="35">
        <f t="shared" si="657"/>
        <v>100</v>
      </c>
    </row>
    <row r="1458" spans="1:13">
      <c r="A1458" s="59" t="s">
        <v>72</v>
      </c>
      <c r="B1458" s="28" t="s">
        <v>481</v>
      </c>
      <c r="C1458" s="28" t="s">
        <v>19</v>
      </c>
      <c r="D1458" s="28" t="s">
        <v>93</v>
      </c>
      <c r="E1458" s="28" t="s">
        <v>586</v>
      </c>
      <c r="F1458" s="28" t="s">
        <v>73</v>
      </c>
      <c r="G1458" s="35">
        <f>G1460+G1459</f>
        <v>32.1</v>
      </c>
      <c r="H1458" s="35">
        <f t="shared" ref="H1458:K1458" si="664">H1460+H1459</f>
        <v>32.107320000000001</v>
      </c>
      <c r="I1458" s="35">
        <f t="shared" si="664"/>
        <v>10.3896</v>
      </c>
      <c r="J1458" s="35">
        <f t="shared" si="664"/>
        <v>10.3896</v>
      </c>
      <c r="K1458" s="35">
        <f t="shared" si="664"/>
        <v>10.379799999999999</v>
      </c>
      <c r="L1458" s="35">
        <f t="shared" si="656"/>
        <v>32.328453449244591</v>
      </c>
      <c r="M1458" s="35">
        <f t="shared" si="657"/>
        <v>99.9056749056749</v>
      </c>
    </row>
    <row r="1459" spans="1:13">
      <c r="A1459" s="62" t="s">
        <v>84</v>
      </c>
      <c r="B1459" s="28" t="s">
        <v>481</v>
      </c>
      <c r="C1459" s="28" t="s">
        <v>19</v>
      </c>
      <c r="D1459" s="28" t="s">
        <v>93</v>
      </c>
      <c r="E1459" s="28" t="s">
        <v>586</v>
      </c>
      <c r="F1459" s="28">
        <v>830</v>
      </c>
      <c r="G1459" s="35">
        <v>4</v>
      </c>
      <c r="H1459" s="35">
        <v>10.00732</v>
      </c>
      <c r="I1459" s="35">
        <v>6.00732</v>
      </c>
      <c r="J1459" s="35">
        <v>6.00732</v>
      </c>
      <c r="K1459" s="35">
        <v>6</v>
      </c>
      <c r="L1459" s="35">
        <f t="shared" si="656"/>
        <v>59.956112125923823</v>
      </c>
      <c r="M1459" s="35">
        <f t="shared" si="657"/>
        <v>99.878148658636462</v>
      </c>
    </row>
    <row r="1460" spans="1:13">
      <c r="A1460" s="59" t="s">
        <v>74</v>
      </c>
      <c r="B1460" s="28" t="s">
        <v>481</v>
      </c>
      <c r="C1460" s="28" t="s">
        <v>19</v>
      </c>
      <c r="D1460" s="28" t="s">
        <v>93</v>
      </c>
      <c r="E1460" s="28" t="s">
        <v>586</v>
      </c>
      <c r="F1460" s="28" t="s">
        <v>75</v>
      </c>
      <c r="G1460" s="35">
        <v>28.1</v>
      </c>
      <c r="H1460" s="35">
        <f>10.47+1.6202+10.0098</f>
        <v>22.1</v>
      </c>
      <c r="I1460" s="35">
        <v>4.3822799999999997</v>
      </c>
      <c r="J1460" s="35">
        <v>4.3822799999999997</v>
      </c>
      <c r="K1460" s="35">
        <f>4.3798</f>
        <v>4.3798000000000004</v>
      </c>
      <c r="L1460" s="35">
        <f t="shared" si="656"/>
        <v>19.818099547511313</v>
      </c>
      <c r="M1460" s="35">
        <f t="shared" si="657"/>
        <v>99.943408454046761</v>
      </c>
    </row>
    <row r="1461" spans="1:13" ht="25.5">
      <c r="A1461" s="59" t="s">
        <v>76</v>
      </c>
      <c r="B1461" s="28" t="s">
        <v>481</v>
      </c>
      <c r="C1461" s="28" t="s">
        <v>19</v>
      </c>
      <c r="D1461" s="28" t="s">
        <v>93</v>
      </c>
      <c r="E1461" s="28" t="s">
        <v>587</v>
      </c>
      <c r="F1461" s="58" t="s">
        <v>0</v>
      </c>
      <c r="G1461" s="35">
        <f>G1462</f>
        <v>614.6</v>
      </c>
      <c r="H1461" s="35">
        <f t="shared" ref="H1461:K1462" si="665">H1462</f>
        <v>614.6</v>
      </c>
      <c r="I1461" s="35">
        <f t="shared" si="665"/>
        <v>460.95</v>
      </c>
      <c r="J1461" s="35">
        <f t="shared" si="665"/>
        <v>460.95</v>
      </c>
      <c r="K1461" s="35">
        <f t="shared" si="665"/>
        <v>460.95</v>
      </c>
      <c r="L1461" s="35">
        <f t="shared" si="656"/>
        <v>75</v>
      </c>
      <c r="M1461" s="35">
        <f t="shared" si="657"/>
        <v>100</v>
      </c>
    </row>
    <row r="1462" spans="1:13" ht="25.5">
      <c r="A1462" s="59" t="s">
        <v>80</v>
      </c>
      <c r="B1462" s="28" t="s">
        <v>481</v>
      </c>
      <c r="C1462" s="28" t="s">
        <v>19</v>
      </c>
      <c r="D1462" s="28" t="s">
        <v>93</v>
      </c>
      <c r="E1462" s="28" t="s">
        <v>587</v>
      </c>
      <c r="F1462" s="28" t="s">
        <v>81</v>
      </c>
      <c r="G1462" s="35">
        <f>G1463</f>
        <v>614.6</v>
      </c>
      <c r="H1462" s="35">
        <f t="shared" si="665"/>
        <v>614.6</v>
      </c>
      <c r="I1462" s="35">
        <f t="shared" si="665"/>
        <v>460.95</v>
      </c>
      <c r="J1462" s="35">
        <f t="shared" si="665"/>
        <v>460.95</v>
      </c>
      <c r="K1462" s="35">
        <f t="shared" si="665"/>
        <v>460.95</v>
      </c>
      <c r="L1462" s="35">
        <f t="shared" si="656"/>
        <v>75</v>
      </c>
      <c r="M1462" s="35">
        <f t="shared" si="657"/>
        <v>100</v>
      </c>
    </row>
    <row r="1463" spans="1:13">
      <c r="A1463" s="59" t="s">
        <v>271</v>
      </c>
      <c r="B1463" s="28" t="s">
        <v>481</v>
      </c>
      <c r="C1463" s="28" t="s">
        <v>19</v>
      </c>
      <c r="D1463" s="28" t="s">
        <v>93</v>
      </c>
      <c r="E1463" s="28" t="s">
        <v>587</v>
      </c>
      <c r="F1463" s="28" t="s">
        <v>272</v>
      </c>
      <c r="G1463" s="35">
        <v>614.6</v>
      </c>
      <c r="H1463" s="35">
        <v>614.6</v>
      </c>
      <c r="I1463" s="35">
        <v>460.95</v>
      </c>
      <c r="J1463" s="35">
        <v>460.95</v>
      </c>
      <c r="K1463" s="35">
        <v>460.95</v>
      </c>
      <c r="L1463" s="35">
        <f t="shared" si="656"/>
        <v>75</v>
      </c>
      <c r="M1463" s="35">
        <f t="shared" si="657"/>
        <v>100</v>
      </c>
    </row>
    <row r="1464" spans="1:13" ht="38.25">
      <c r="A1464" s="59" t="s">
        <v>588</v>
      </c>
      <c r="B1464" s="28" t="s">
        <v>481</v>
      </c>
      <c r="C1464" s="28" t="s">
        <v>19</v>
      </c>
      <c r="D1464" s="28" t="s">
        <v>93</v>
      </c>
      <c r="E1464" s="28" t="s">
        <v>589</v>
      </c>
      <c r="F1464" s="58" t="s">
        <v>0</v>
      </c>
      <c r="G1464" s="35">
        <f>G1468</f>
        <v>5000</v>
      </c>
      <c r="H1464" s="35">
        <f>H1468+H1465</f>
        <v>46341</v>
      </c>
      <c r="I1464" s="35">
        <f t="shared" ref="I1464:K1464" si="666">I1468+I1465</f>
        <v>30299.40539</v>
      </c>
      <c r="J1464" s="35">
        <f t="shared" si="666"/>
        <v>30299.405039000001</v>
      </c>
      <c r="K1464" s="35">
        <f t="shared" si="666"/>
        <v>30299.40539</v>
      </c>
      <c r="L1464" s="35">
        <f t="shared" si="656"/>
        <v>65.383581256338871</v>
      </c>
      <c r="M1464" s="35">
        <f t="shared" si="657"/>
        <v>100</v>
      </c>
    </row>
    <row r="1465" spans="1:13" ht="54.75" customHeight="1">
      <c r="A1465" s="76" t="s">
        <v>1208</v>
      </c>
      <c r="B1465" s="28" t="s">
        <v>481</v>
      </c>
      <c r="C1465" s="28" t="s">
        <v>19</v>
      </c>
      <c r="D1465" s="28" t="s">
        <v>93</v>
      </c>
      <c r="E1465" s="77" t="s">
        <v>1207</v>
      </c>
      <c r="F1465" s="58"/>
      <c r="G1465" s="35"/>
      <c r="H1465" s="35">
        <f>H1466</f>
        <v>41341</v>
      </c>
      <c r="I1465" s="35">
        <f t="shared" ref="I1465:K1466" si="667">I1466</f>
        <v>27099.40539</v>
      </c>
      <c r="J1465" s="35">
        <f t="shared" si="667"/>
        <v>27099.405039000001</v>
      </c>
      <c r="K1465" s="35">
        <f t="shared" si="667"/>
        <v>27099.40539</v>
      </c>
      <c r="L1465" s="35">
        <f t="shared" si="656"/>
        <v>65.550918918265154</v>
      </c>
      <c r="M1465" s="35">
        <f t="shared" si="657"/>
        <v>100</v>
      </c>
    </row>
    <row r="1466" spans="1:13">
      <c r="A1466" s="59" t="s">
        <v>72</v>
      </c>
      <c r="B1466" s="28" t="s">
        <v>481</v>
      </c>
      <c r="C1466" s="28" t="s">
        <v>19</v>
      </c>
      <c r="D1466" s="28" t="s">
        <v>93</v>
      </c>
      <c r="E1466" s="77" t="s">
        <v>1207</v>
      </c>
      <c r="F1466" s="28" t="s">
        <v>73</v>
      </c>
      <c r="G1466" s="35"/>
      <c r="H1466" s="35">
        <f>H1467</f>
        <v>41341</v>
      </c>
      <c r="I1466" s="35">
        <f t="shared" si="667"/>
        <v>27099.40539</v>
      </c>
      <c r="J1466" s="35">
        <f t="shared" si="667"/>
        <v>27099.405039000001</v>
      </c>
      <c r="K1466" s="35">
        <f t="shared" si="667"/>
        <v>27099.40539</v>
      </c>
      <c r="L1466" s="35">
        <f t="shared" si="656"/>
        <v>65.550918918265154</v>
      </c>
      <c r="M1466" s="35">
        <f t="shared" si="657"/>
        <v>100</v>
      </c>
    </row>
    <row r="1467" spans="1:13" ht="51">
      <c r="A1467" s="59" t="s">
        <v>218</v>
      </c>
      <c r="B1467" s="28" t="s">
        <v>481</v>
      </c>
      <c r="C1467" s="28" t="s">
        <v>19</v>
      </c>
      <c r="D1467" s="28" t="s">
        <v>93</v>
      </c>
      <c r="E1467" s="77" t="s">
        <v>1207</v>
      </c>
      <c r="F1467" s="28" t="s">
        <v>219</v>
      </c>
      <c r="G1467" s="35"/>
      <c r="H1467" s="35">
        <v>41341</v>
      </c>
      <c r="I1467" s="35">
        <v>27099.40539</v>
      </c>
      <c r="J1467" s="35">
        <v>27099.405039000001</v>
      </c>
      <c r="K1467" s="35">
        <v>27099.40539</v>
      </c>
      <c r="L1467" s="35">
        <f t="shared" si="656"/>
        <v>65.550918918265154</v>
      </c>
      <c r="M1467" s="35">
        <f t="shared" si="657"/>
        <v>100</v>
      </c>
    </row>
    <row r="1468" spans="1:13" ht="51">
      <c r="A1468" s="59" t="s">
        <v>590</v>
      </c>
      <c r="B1468" s="28" t="s">
        <v>481</v>
      </c>
      <c r="C1468" s="28" t="s">
        <v>19</v>
      </c>
      <c r="D1468" s="28" t="s">
        <v>93</v>
      </c>
      <c r="E1468" s="28" t="s">
        <v>591</v>
      </c>
      <c r="F1468" s="58" t="s">
        <v>0</v>
      </c>
      <c r="G1468" s="35">
        <f>G1469</f>
        <v>5000</v>
      </c>
      <c r="H1468" s="35">
        <f t="shared" ref="H1468:K1469" si="668">H1469</f>
        <v>5000</v>
      </c>
      <c r="I1468" s="35">
        <f t="shared" si="668"/>
        <v>3200</v>
      </c>
      <c r="J1468" s="35">
        <f t="shared" si="668"/>
        <v>3200</v>
      </c>
      <c r="K1468" s="35">
        <f t="shared" si="668"/>
        <v>3200</v>
      </c>
      <c r="L1468" s="35">
        <f t="shared" si="656"/>
        <v>64</v>
      </c>
      <c r="M1468" s="35">
        <f t="shared" si="657"/>
        <v>100</v>
      </c>
    </row>
    <row r="1469" spans="1:13">
      <c r="A1469" s="59" t="s">
        <v>72</v>
      </c>
      <c r="B1469" s="28" t="s">
        <v>481</v>
      </c>
      <c r="C1469" s="28" t="s">
        <v>19</v>
      </c>
      <c r="D1469" s="28" t="s">
        <v>93</v>
      </c>
      <c r="E1469" s="28" t="s">
        <v>591</v>
      </c>
      <c r="F1469" s="28" t="s">
        <v>73</v>
      </c>
      <c r="G1469" s="35">
        <f>G1470</f>
        <v>5000</v>
      </c>
      <c r="H1469" s="35">
        <f t="shared" si="668"/>
        <v>5000</v>
      </c>
      <c r="I1469" s="35">
        <f t="shared" si="668"/>
        <v>3200</v>
      </c>
      <c r="J1469" s="35">
        <f t="shared" si="668"/>
        <v>3200</v>
      </c>
      <c r="K1469" s="35">
        <f t="shared" si="668"/>
        <v>3200</v>
      </c>
      <c r="L1469" s="35">
        <f t="shared" si="656"/>
        <v>64</v>
      </c>
      <c r="M1469" s="35">
        <f t="shared" si="657"/>
        <v>100</v>
      </c>
    </row>
    <row r="1470" spans="1:13" ht="51">
      <c r="A1470" s="59" t="s">
        <v>218</v>
      </c>
      <c r="B1470" s="28" t="s">
        <v>481</v>
      </c>
      <c r="C1470" s="28" t="s">
        <v>19</v>
      </c>
      <c r="D1470" s="28" t="s">
        <v>93</v>
      </c>
      <c r="E1470" s="28" t="s">
        <v>591</v>
      </c>
      <c r="F1470" s="28" t="s">
        <v>219</v>
      </c>
      <c r="G1470" s="35">
        <v>5000</v>
      </c>
      <c r="H1470" s="35">
        <v>5000</v>
      </c>
      <c r="I1470" s="35">
        <v>3200</v>
      </c>
      <c r="J1470" s="35">
        <v>3200</v>
      </c>
      <c r="K1470" s="35">
        <v>3200</v>
      </c>
      <c r="L1470" s="35">
        <f t="shared" si="656"/>
        <v>64</v>
      </c>
      <c r="M1470" s="35">
        <f t="shared" si="657"/>
        <v>100</v>
      </c>
    </row>
    <row r="1471" spans="1:13">
      <c r="A1471" s="59" t="s">
        <v>50</v>
      </c>
      <c r="B1471" s="28" t="s">
        <v>481</v>
      </c>
      <c r="C1471" s="28" t="s">
        <v>19</v>
      </c>
      <c r="D1471" s="28" t="s">
        <v>51</v>
      </c>
      <c r="E1471" s="58" t="s">
        <v>0</v>
      </c>
      <c r="F1471" s="58" t="s">
        <v>0</v>
      </c>
      <c r="G1471" s="35">
        <f>G1472</f>
        <v>2194</v>
      </c>
      <c r="H1471" s="35">
        <f t="shared" ref="H1471:K1474" si="669">H1472</f>
        <v>2194</v>
      </c>
      <c r="I1471" s="35">
        <f t="shared" si="669"/>
        <v>1207.9770799999999</v>
      </c>
      <c r="J1471" s="35">
        <f t="shared" si="669"/>
        <v>1207.9770799999999</v>
      </c>
      <c r="K1471" s="35">
        <f t="shared" si="669"/>
        <v>1207.9770799999999</v>
      </c>
      <c r="L1471" s="35">
        <f t="shared" si="656"/>
        <v>55.058207839562435</v>
      </c>
      <c r="M1471" s="35">
        <f t="shared" si="657"/>
        <v>100</v>
      </c>
    </row>
    <row r="1472" spans="1:13" ht="38.25">
      <c r="A1472" s="59" t="s">
        <v>482</v>
      </c>
      <c r="B1472" s="28" t="s">
        <v>481</v>
      </c>
      <c r="C1472" s="28" t="s">
        <v>19</v>
      </c>
      <c r="D1472" s="28" t="s">
        <v>51</v>
      </c>
      <c r="E1472" s="28" t="s">
        <v>483</v>
      </c>
      <c r="F1472" s="58" t="s">
        <v>0</v>
      </c>
      <c r="G1472" s="35">
        <f>G1473</f>
        <v>2194</v>
      </c>
      <c r="H1472" s="35">
        <f t="shared" si="669"/>
        <v>2194</v>
      </c>
      <c r="I1472" s="35">
        <f t="shared" si="669"/>
        <v>1207.9770799999999</v>
      </c>
      <c r="J1472" s="35">
        <f t="shared" si="669"/>
        <v>1207.9770799999999</v>
      </c>
      <c r="K1472" s="35">
        <f t="shared" si="669"/>
        <v>1207.9770799999999</v>
      </c>
      <c r="L1472" s="35">
        <f t="shared" si="656"/>
        <v>55.058207839562435</v>
      </c>
      <c r="M1472" s="35">
        <f t="shared" si="657"/>
        <v>100</v>
      </c>
    </row>
    <row r="1473" spans="1:13" ht="25.5">
      <c r="A1473" s="59" t="s">
        <v>592</v>
      </c>
      <c r="B1473" s="28" t="s">
        <v>481</v>
      </c>
      <c r="C1473" s="28" t="s">
        <v>19</v>
      </c>
      <c r="D1473" s="28" t="s">
        <v>51</v>
      </c>
      <c r="E1473" s="28" t="s">
        <v>593</v>
      </c>
      <c r="F1473" s="58" t="s">
        <v>0</v>
      </c>
      <c r="G1473" s="35">
        <f>G1474</f>
        <v>2194</v>
      </c>
      <c r="H1473" s="35">
        <f t="shared" si="669"/>
        <v>2194</v>
      </c>
      <c r="I1473" s="35">
        <f t="shared" si="669"/>
        <v>1207.9770799999999</v>
      </c>
      <c r="J1473" s="35">
        <f t="shared" si="669"/>
        <v>1207.9770799999999</v>
      </c>
      <c r="K1473" s="35">
        <f t="shared" si="669"/>
        <v>1207.9770799999999</v>
      </c>
      <c r="L1473" s="35">
        <f t="shared" si="656"/>
        <v>55.058207839562435</v>
      </c>
      <c r="M1473" s="35">
        <f t="shared" si="657"/>
        <v>100</v>
      </c>
    </row>
    <row r="1474" spans="1:13">
      <c r="A1474" s="59" t="s">
        <v>26</v>
      </c>
      <c r="B1474" s="28" t="s">
        <v>481</v>
      </c>
      <c r="C1474" s="28" t="s">
        <v>19</v>
      </c>
      <c r="D1474" s="28" t="s">
        <v>51</v>
      </c>
      <c r="E1474" s="28" t="s">
        <v>593</v>
      </c>
      <c r="F1474" s="28" t="s">
        <v>27</v>
      </c>
      <c r="G1474" s="35">
        <f>G1475</f>
        <v>2194</v>
      </c>
      <c r="H1474" s="35">
        <f t="shared" si="669"/>
        <v>2194</v>
      </c>
      <c r="I1474" s="35">
        <f t="shared" si="669"/>
        <v>1207.9770799999999</v>
      </c>
      <c r="J1474" s="35">
        <f t="shared" si="669"/>
        <v>1207.9770799999999</v>
      </c>
      <c r="K1474" s="35">
        <f t="shared" si="669"/>
        <v>1207.9770799999999</v>
      </c>
      <c r="L1474" s="35">
        <f t="shared" si="656"/>
        <v>55.058207839562435</v>
      </c>
      <c r="M1474" s="35">
        <f t="shared" si="657"/>
        <v>100</v>
      </c>
    </row>
    <row r="1475" spans="1:13">
      <c r="A1475" s="59" t="s">
        <v>56</v>
      </c>
      <c r="B1475" s="28" t="s">
        <v>481</v>
      </c>
      <c r="C1475" s="28" t="s">
        <v>19</v>
      </c>
      <c r="D1475" s="28" t="s">
        <v>51</v>
      </c>
      <c r="E1475" s="28" t="s">
        <v>593</v>
      </c>
      <c r="F1475" s="28" t="s">
        <v>57</v>
      </c>
      <c r="G1475" s="35">
        <v>2194</v>
      </c>
      <c r="H1475" s="35">
        <v>2194</v>
      </c>
      <c r="I1475" s="35">
        <v>1207.9770799999999</v>
      </c>
      <c r="J1475" s="35">
        <v>1207.9770799999999</v>
      </c>
      <c r="K1475" s="35">
        <v>1207.9770799999999</v>
      </c>
      <c r="L1475" s="35">
        <f t="shared" si="656"/>
        <v>55.058207839562435</v>
      </c>
      <c r="M1475" s="35">
        <f t="shared" si="657"/>
        <v>100</v>
      </c>
    </row>
    <row r="1476" spans="1:13">
      <c r="A1476" s="60" t="s">
        <v>0</v>
      </c>
      <c r="B1476" s="58" t="s">
        <v>0</v>
      </c>
      <c r="C1476" s="58" t="s">
        <v>0</v>
      </c>
      <c r="D1476" s="58" t="s">
        <v>0</v>
      </c>
      <c r="E1476" s="58" t="s">
        <v>0</v>
      </c>
      <c r="F1476" s="58" t="s">
        <v>0</v>
      </c>
      <c r="G1476" s="61" t="s">
        <v>0</v>
      </c>
      <c r="H1476" s="61" t="s">
        <v>0</v>
      </c>
      <c r="I1476" s="61" t="s">
        <v>0</v>
      </c>
      <c r="J1476" s="61" t="s">
        <v>0</v>
      </c>
      <c r="K1476" s="61" t="s">
        <v>0</v>
      </c>
      <c r="L1476" s="35"/>
      <c r="M1476" s="35"/>
    </row>
    <row r="1477" spans="1:13">
      <c r="A1477" s="59" t="s">
        <v>147</v>
      </c>
      <c r="B1477" s="28" t="s">
        <v>481</v>
      </c>
      <c r="C1477" s="28" t="s">
        <v>148</v>
      </c>
      <c r="D1477" s="58" t="s">
        <v>0</v>
      </c>
      <c r="E1477" s="58" t="s">
        <v>0</v>
      </c>
      <c r="F1477" s="58" t="s">
        <v>0</v>
      </c>
      <c r="G1477" s="35">
        <f>G1478</f>
        <v>42000</v>
      </c>
      <c r="H1477" s="35">
        <f t="shared" ref="H1477:K1484" si="670">H1478</f>
        <v>75028.399999999994</v>
      </c>
      <c r="I1477" s="35">
        <f t="shared" si="670"/>
        <v>54753.846000000005</v>
      </c>
      <c r="J1477" s="35">
        <f t="shared" si="670"/>
        <v>54753.846000000005</v>
      </c>
      <c r="K1477" s="35">
        <f t="shared" si="670"/>
        <v>51977.210999999996</v>
      </c>
      <c r="L1477" s="35">
        <f t="shared" si="656"/>
        <v>69.276715217171088</v>
      </c>
      <c r="M1477" s="35">
        <f t="shared" si="657"/>
        <v>94.928876776984751</v>
      </c>
    </row>
    <row r="1478" spans="1:13">
      <c r="A1478" s="59" t="s">
        <v>149</v>
      </c>
      <c r="B1478" s="28" t="s">
        <v>481</v>
      </c>
      <c r="C1478" s="28" t="s">
        <v>148</v>
      </c>
      <c r="D1478" s="28" t="s">
        <v>150</v>
      </c>
      <c r="E1478" s="58" t="s">
        <v>0</v>
      </c>
      <c r="F1478" s="58" t="s">
        <v>0</v>
      </c>
      <c r="G1478" s="35">
        <f>G1479</f>
        <v>42000</v>
      </c>
      <c r="H1478" s="35">
        <f t="shared" si="670"/>
        <v>75028.399999999994</v>
      </c>
      <c r="I1478" s="35">
        <f t="shared" si="670"/>
        <v>54753.846000000005</v>
      </c>
      <c r="J1478" s="35">
        <f t="shared" si="670"/>
        <v>54753.846000000005</v>
      </c>
      <c r="K1478" s="35">
        <f t="shared" si="670"/>
        <v>51977.210999999996</v>
      </c>
      <c r="L1478" s="35">
        <f t="shared" si="656"/>
        <v>69.276715217171088</v>
      </c>
      <c r="M1478" s="35">
        <f t="shared" si="657"/>
        <v>94.928876776984751</v>
      </c>
    </row>
    <row r="1479" spans="1:13" ht="38.25">
      <c r="A1479" s="59" t="s">
        <v>122</v>
      </c>
      <c r="B1479" s="28" t="s">
        <v>481</v>
      </c>
      <c r="C1479" s="28" t="s">
        <v>148</v>
      </c>
      <c r="D1479" s="28" t="s">
        <v>150</v>
      </c>
      <c r="E1479" s="28" t="s">
        <v>123</v>
      </c>
      <c r="F1479" s="58" t="s">
        <v>0</v>
      </c>
      <c r="G1479" s="35">
        <f>G1483</f>
        <v>42000</v>
      </c>
      <c r="H1479" s="35">
        <f>H1483+H1480</f>
        <v>75028.399999999994</v>
      </c>
      <c r="I1479" s="35">
        <f t="shared" ref="I1479:K1479" si="671">I1483+I1480</f>
        <v>54753.846000000005</v>
      </c>
      <c r="J1479" s="35">
        <f t="shared" si="671"/>
        <v>54753.846000000005</v>
      </c>
      <c r="K1479" s="35">
        <f t="shared" si="671"/>
        <v>51977.210999999996</v>
      </c>
      <c r="L1479" s="35">
        <f t="shared" si="656"/>
        <v>69.276715217171088</v>
      </c>
      <c r="M1479" s="35">
        <f t="shared" si="657"/>
        <v>94.928876776984751</v>
      </c>
    </row>
    <row r="1480" spans="1:13" ht="43.5" customHeight="1">
      <c r="A1480" s="59" t="s">
        <v>1110</v>
      </c>
      <c r="B1480" s="28" t="s">
        <v>481</v>
      </c>
      <c r="C1480" s="28" t="s">
        <v>148</v>
      </c>
      <c r="D1480" s="28" t="s">
        <v>150</v>
      </c>
      <c r="E1480" s="29" t="s">
        <v>1111</v>
      </c>
      <c r="F1480" s="58"/>
      <c r="G1480" s="35"/>
      <c r="H1480" s="35">
        <f>H1481</f>
        <v>33028.400000000001</v>
      </c>
      <c r="I1480" s="35">
        <f t="shared" ref="I1480:K1481" si="672">I1481</f>
        <v>26800</v>
      </c>
      <c r="J1480" s="35">
        <f t="shared" si="672"/>
        <v>26800</v>
      </c>
      <c r="K1480" s="35">
        <f t="shared" si="672"/>
        <v>26785.665000000001</v>
      </c>
      <c r="L1480" s="35">
        <f t="shared" si="656"/>
        <v>81.098887623984211</v>
      </c>
      <c r="M1480" s="35">
        <f t="shared" si="657"/>
        <v>99.946511194029853</v>
      </c>
    </row>
    <row r="1481" spans="1:13">
      <c r="A1481" s="59" t="s">
        <v>26</v>
      </c>
      <c r="B1481" s="28" t="s">
        <v>481</v>
      </c>
      <c r="C1481" s="28" t="s">
        <v>148</v>
      </c>
      <c r="D1481" s="28" t="s">
        <v>150</v>
      </c>
      <c r="E1481" s="29" t="s">
        <v>1111</v>
      </c>
      <c r="F1481" s="28" t="s">
        <v>27</v>
      </c>
      <c r="G1481" s="35"/>
      <c r="H1481" s="35">
        <f>H1482</f>
        <v>33028.400000000001</v>
      </c>
      <c r="I1481" s="35">
        <f t="shared" si="672"/>
        <v>26800</v>
      </c>
      <c r="J1481" s="35">
        <f t="shared" si="672"/>
        <v>26800</v>
      </c>
      <c r="K1481" s="35">
        <f t="shared" si="672"/>
        <v>26785.665000000001</v>
      </c>
      <c r="L1481" s="35">
        <f t="shared" si="656"/>
        <v>81.098887623984211</v>
      </c>
      <c r="M1481" s="35">
        <f t="shared" si="657"/>
        <v>99.946511194029853</v>
      </c>
    </row>
    <row r="1482" spans="1:13">
      <c r="A1482" s="59" t="s">
        <v>56</v>
      </c>
      <c r="B1482" s="28" t="s">
        <v>481</v>
      </c>
      <c r="C1482" s="28" t="s">
        <v>148</v>
      </c>
      <c r="D1482" s="28" t="s">
        <v>150</v>
      </c>
      <c r="E1482" s="29" t="s">
        <v>1111</v>
      </c>
      <c r="F1482" s="28" t="s">
        <v>57</v>
      </c>
      <c r="G1482" s="35"/>
      <c r="H1482" s="35">
        <v>33028.400000000001</v>
      </c>
      <c r="I1482" s="35">
        <v>26800</v>
      </c>
      <c r="J1482" s="35">
        <v>26800</v>
      </c>
      <c r="K1482" s="35">
        <v>26785.665000000001</v>
      </c>
      <c r="L1482" s="35">
        <f t="shared" si="656"/>
        <v>81.098887623984211</v>
      </c>
      <c r="M1482" s="35">
        <f t="shared" si="657"/>
        <v>99.946511194029853</v>
      </c>
    </row>
    <row r="1483" spans="1:13" ht="51">
      <c r="A1483" s="59" t="s">
        <v>125</v>
      </c>
      <c r="B1483" s="28" t="s">
        <v>481</v>
      </c>
      <c r="C1483" s="28" t="s">
        <v>148</v>
      </c>
      <c r="D1483" s="28" t="s">
        <v>150</v>
      </c>
      <c r="E1483" s="28" t="s">
        <v>126</v>
      </c>
      <c r="F1483" s="58" t="s">
        <v>0</v>
      </c>
      <c r="G1483" s="35">
        <f>G1484</f>
        <v>42000</v>
      </c>
      <c r="H1483" s="35">
        <f t="shared" si="670"/>
        <v>42000</v>
      </c>
      <c r="I1483" s="35">
        <f t="shared" si="670"/>
        <v>27953.846000000001</v>
      </c>
      <c r="J1483" s="35">
        <f t="shared" si="670"/>
        <v>27953.846000000001</v>
      </c>
      <c r="K1483" s="35">
        <f t="shared" si="670"/>
        <v>25191.545999999998</v>
      </c>
      <c r="L1483" s="35">
        <f t="shared" si="656"/>
        <v>59.979871428571428</v>
      </c>
      <c r="M1483" s="35">
        <f t="shared" si="657"/>
        <v>90.118354375995338</v>
      </c>
    </row>
    <row r="1484" spans="1:13">
      <c r="A1484" s="59" t="s">
        <v>26</v>
      </c>
      <c r="B1484" s="28" t="s">
        <v>481</v>
      </c>
      <c r="C1484" s="28" t="s">
        <v>148</v>
      </c>
      <c r="D1484" s="28" t="s">
        <v>150</v>
      </c>
      <c r="E1484" s="28" t="s">
        <v>126</v>
      </c>
      <c r="F1484" s="28" t="s">
        <v>27</v>
      </c>
      <c r="G1484" s="35">
        <f>G1485</f>
        <v>42000</v>
      </c>
      <c r="H1484" s="35">
        <f t="shared" si="670"/>
        <v>42000</v>
      </c>
      <c r="I1484" s="35">
        <f t="shared" si="670"/>
        <v>27953.846000000001</v>
      </c>
      <c r="J1484" s="35">
        <f t="shared" si="670"/>
        <v>27953.846000000001</v>
      </c>
      <c r="K1484" s="35">
        <f t="shared" si="670"/>
        <v>25191.545999999998</v>
      </c>
      <c r="L1484" s="35">
        <f t="shared" si="656"/>
        <v>59.979871428571428</v>
      </c>
      <c r="M1484" s="35">
        <f t="shared" si="657"/>
        <v>90.118354375995338</v>
      </c>
    </row>
    <row r="1485" spans="1:13">
      <c r="A1485" s="59" t="s">
        <v>56</v>
      </c>
      <c r="B1485" s="28" t="s">
        <v>481</v>
      </c>
      <c r="C1485" s="28" t="s">
        <v>148</v>
      </c>
      <c r="D1485" s="28" t="s">
        <v>150</v>
      </c>
      <c r="E1485" s="28" t="s">
        <v>126</v>
      </c>
      <c r="F1485" s="28" t="s">
        <v>57</v>
      </c>
      <c r="G1485" s="35">
        <v>42000</v>
      </c>
      <c r="H1485" s="35">
        <v>42000</v>
      </c>
      <c r="I1485" s="35">
        <v>27953.846000000001</v>
      </c>
      <c r="J1485" s="35">
        <v>27953.846000000001</v>
      </c>
      <c r="K1485" s="35">
        <v>25191.545999999998</v>
      </c>
      <c r="L1485" s="35">
        <f t="shared" si="656"/>
        <v>59.979871428571428</v>
      </c>
      <c r="M1485" s="35">
        <f t="shared" si="657"/>
        <v>90.118354375995338</v>
      </c>
    </row>
    <row r="1486" spans="1:13">
      <c r="A1486" s="64" t="s">
        <v>0</v>
      </c>
      <c r="B1486" s="65" t="s">
        <v>0</v>
      </c>
      <c r="C1486" s="58" t="s">
        <v>0</v>
      </c>
      <c r="D1486" s="58" t="s">
        <v>0</v>
      </c>
      <c r="E1486" s="58" t="s">
        <v>0</v>
      </c>
      <c r="F1486" s="58" t="s">
        <v>0</v>
      </c>
      <c r="G1486" s="66" t="s">
        <v>0</v>
      </c>
      <c r="H1486" s="66" t="s">
        <v>0</v>
      </c>
      <c r="I1486" s="66" t="s">
        <v>0</v>
      </c>
      <c r="J1486" s="66" t="s">
        <v>0</v>
      </c>
      <c r="K1486" s="66" t="s">
        <v>0</v>
      </c>
      <c r="L1486" s="35"/>
      <c r="M1486" s="35"/>
    </row>
    <row r="1487" spans="1:13" ht="25.5">
      <c r="A1487" s="56" t="s">
        <v>594</v>
      </c>
      <c r="B1487" s="57" t="s">
        <v>595</v>
      </c>
      <c r="C1487" s="58" t="s">
        <v>0</v>
      </c>
      <c r="D1487" s="58" t="s">
        <v>0</v>
      </c>
      <c r="E1487" s="58" t="s">
        <v>0</v>
      </c>
      <c r="F1487" s="58" t="s">
        <v>0</v>
      </c>
      <c r="G1487" s="30">
        <f>G1488+G1549+G1557+G1569</f>
        <v>5639482.0999999996</v>
      </c>
      <c r="H1487" s="30">
        <f t="shared" ref="H1487:K1487" si="673">H1488+H1549+H1557+H1569</f>
        <v>5465817.8367999997</v>
      </c>
      <c r="I1487" s="30">
        <f t="shared" si="673"/>
        <v>3490262.1486900002</v>
      </c>
      <c r="J1487" s="30">
        <f t="shared" si="673"/>
        <v>3488046.87837</v>
      </c>
      <c r="K1487" s="30">
        <f t="shared" si="673"/>
        <v>3476814.84668</v>
      </c>
      <c r="L1487" s="30">
        <f t="shared" si="656"/>
        <v>63.610148572304503</v>
      </c>
      <c r="M1487" s="30">
        <f t="shared" si="657"/>
        <v>99.614719426876079</v>
      </c>
    </row>
    <row r="1488" spans="1:13">
      <c r="A1488" s="59" t="s">
        <v>16</v>
      </c>
      <c r="B1488" s="28" t="s">
        <v>595</v>
      </c>
      <c r="C1488" s="28" t="s">
        <v>17</v>
      </c>
      <c r="D1488" s="58" t="s">
        <v>0</v>
      </c>
      <c r="E1488" s="58" t="s">
        <v>0</v>
      </c>
      <c r="F1488" s="58" t="s">
        <v>0</v>
      </c>
      <c r="G1488" s="35">
        <f>G1489+G1498+G1504+G1519+G1524</f>
        <v>795332</v>
      </c>
      <c r="H1488" s="35">
        <f t="shared" ref="H1488:K1488" si="674">H1489+H1498+H1504+H1519+H1524</f>
        <v>619921.93680000002</v>
      </c>
      <c r="I1488" s="35">
        <f t="shared" si="674"/>
        <v>117756.68048</v>
      </c>
      <c r="J1488" s="35">
        <f t="shared" si="674"/>
        <v>116333.26416000001</v>
      </c>
      <c r="K1488" s="35">
        <f t="shared" si="674"/>
        <v>107582.01897</v>
      </c>
      <c r="L1488" s="35">
        <f t="shared" si="656"/>
        <v>17.354123573256974</v>
      </c>
      <c r="M1488" s="35">
        <f t="shared" si="657"/>
        <v>91.359588714180788</v>
      </c>
    </row>
    <row r="1489" spans="1:13" ht="51">
      <c r="A1489" s="59" t="s">
        <v>18</v>
      </c>
      <c r="B1489" s="28" t="s">
        <v>595</v>
      </c>
      <c r="C1489" s="28" t="s">
        <v>17</v>
      </c>
      <c r="D1489" s="28" t="s">
        <v>19</v>
      </c>
      <c r="E1489" s="58" t="s">
        <v>0</v>
      </c>
      <c r="F1489" s="58" t="s">
        <v>0</v>
      </c>
      <c r="G1489" s="35">
        <f>G1490</f>
        <v>55008.1</v>
      </c>
      <c r="H1489" s="35">
        <f t="shared" ref="H1489:K1490" si="675">H1490</f>
        <v>55008.1</v>
      </c>
      <c r="I1489" s="35">
        <f t="shared" si="675"/>
        <v>41317.5</v>
      </c>
      <c r="J1489" s="35">
        <f t="shared" si="675"/>
        <v>41317.068490000005</v>
      </c>
      <c r="K1489" s="35">
        <f t="shared" si="675"/>
        <v>37299.631609999997</v>
      </c>
      <c r="L1489" s="35">
        <f t="shared" si="656"/>
        <v>67.807525818924844</v>
      </c>
      <c r="M1489" s="35">
        <f t="shared" si="657"/>
        <v>90.275625606583148</v>
      </c>
    </row>
    <row r="1490" spans="1:13" ht="51">
      <c r="A1490" s="59" t="s">
        <v>596</v>
      </c>
      <c r="B1490" s="28" t="s">
        <v>595</v>
      </c>
      <c r="C1490" s="28" t="s">
        <v>17</v>
      </c>
      <c r="D1490" s="28" t="s">
        <v>19</v>
      </c>
      <c r="E1490" s="28" t="s">
        <v>597</v>
      </c>
      <c r="F1490" s="58" t="s">
        <v>0</v>
      </c>
      <c r="G1490" s="35">
        <f>G1491</f>
        <v>55008.1</v>
      </c>
      <c r="H1490" s="35">
        <f t="shared" si="675"/>
        <v>55008.1</v>
      </c>
      <c r="I1490" s="35">
        <f t="shared" si="675"/>
        <v>41317.5</v>
      </c>
      <c r="J1490" s="35">
        <f t="shared" si="675"/>
        <v>41317.068490000005</v>
      </c>
      <c r="K1490" s="35">
        <f t="shared" si="675"/>
        <v>37299.631609999997</v>
      </c>
      <c r="L1490" s="35">
        <f t="shared" si="656"/>
        <v>67.807525818924844</v>
      </c>
      <c r="M1490" s="35">
        <f t="shared" si="657"/>
        <v>90.275625606583148</v>
      </c>
    </row>
    <row r="1491" spans="1:13" ht="51">
      <c r="A1491" s="59" t="s">
        <v>598</v>
      </c>
      <c r="B1491" s="28" t="s">
        <v>595</v>
      </c>
      <c r="C1491" s="28" t="s">
        <v>17</v>
      </c>
      <c r="D1491" s="28" t="s">
        <v>19</v>
      </c>
      <c r="E1491" s="28" t="s">
        <v>599</v>
      </c>
      <c r="F1491" s="58" t="s">
        <v>0</v>
      </c>
      <c r="G1491" s="35">
        <f>G1492+G1495</f>
        <v>55008.1</v>
      </c>
      <c r="H1491" s="35">
        <f t="shared" ref="H1491:K1491" si="676">H1492+H1495</f>
        <v>55008.1</v>
      </c>
      <c r="I1491" s="35">
        <f t="shared" si="676"/>
        <v>41317.5</v>
      </c>
      <c r="J1491" s="35">
        <f t="shared" si="676"/>
        <v>41317.068490000005</v>
      </c>
      <c r="K1491" s="35">
        <f t="shared" si="676"/>
        <v>37299.631609999997</v>
      </c>
      <c r="L1491" s="35">
        <f t="shared" si="656"/>
        <v>67.807525818924844</v>
      </c>
      <c r="M1491" s="35">
        <f t="shared" si="657"/>
        <v>90.275625606583148</v>
      </c>
    </row>
    <row r="1492" spans="1:13" ht="38.25">
      <c r="A1492" s="59" t="s">
        <v>600</v>
      </c>
      <c r="B1492" s="28" t="s">
        <v>595</v>
      </c>
      <c r="C1492" s="28" t="s">
        <v>17</v>
      </c>
      <c r="D1492" s="28" t="s">
        <v>19</v>
      </c>
      <c r="E1492" s="28" t="s">
        <v>601</v>
      </c>
      <c r="F1492" s="58" t="s">
        <v>0</v>
      </c>
      <c r="G1492" s="35">
        <f>G1493</f>
        <v>34721.699999999997</v>
      </c>
      <c r="H1492" s="35">
        <f t="shared" ref="H1492:K1493" si="677">H1493</f>
        <v>34721.699999999997</v>
      </c>
      <c r="I1492" s="35">
        <f t="shared" si="677"/>
        <v>26101.8</v>
      </c>
      <c r="J1492" s="35">
        <f t="shared" si="677"/>
        <v>26101.368490000001</v>
      </c>
      <c r="K1492" s="35">
        <f t="shared" si="677"/>
        <v>24566.78167</v>
      </c>
      <c r="L1492" s="35">
        <f t="shared" si="656"/>
        <v>70.753395340665932</v>
      </c>
      <c r="M1492" s="35">
        <f t="shared" si="657"/>
        <v>94.119109295144398</v>
      </c>
    </row>
    <row r="1493" spans="1:13">
      <c r="A1493" s="59" t="s">
        <v>26</v>
      </c>
      <c r="B1493" s="28" t="s">
        <v>595</v>
      </c>
      <c r="C1493" s="28" t="s">
        <v>17</v>
      </c>
      <c r="D1493" s="28" t="s">
        <v>19</v>
      </c>
      <c r="E1493" s="28" t="s">
        <v>601</v>
      </c>
      <c r="F1493" s="28" t="s">
        <v>27</v>
      </c>
      <c r="G1493" s="35">
        <f>G1494</f>
        <v>34721.699999999997</v>
      </c>
      <c r="H1493" s="35">
        <f t="shared" si="677"/>
        <v>34721.699999999997</v>
      </c>
      <c r="I1493" s="35">
        <f t="shared" si="677"/>
        <v>26101.8</v>
      </c>
      <c r="J1493" s="35">
        <f t="shared" si="677"/>
        <v>26101.368490000001</v>
      </c>
      <c r="K1493" s="35">
        <f t="shared" si="677"/>
        <v>24566.78167</v>
      </c>
      <c r="L1493" s="35">
        <f t="shared" si="656"/>
        <v>70.753395340665932</v>
      </c>
      <c r="M1493" s="35">
        <f t="shared" si="657"/>
        <v>94.119109295144398</v>
      </c>
    </row>
    <row r="1494" spans="1:13">
      <c r="A1494" s="59" t="s">
        <v>28</v>
      </c>
      <c r="B1494" s="28" t="s">
        <v>595</v>
      </c>
      <c r="C1494" s="28" t="s">
        <v>17</v>
      </c>
      <c r="D1494" s="28" t="s">
        <v>19</v>
      </c>
      <c r="E1494" s="28" t="s">
        <v>601</v>
      </c>
      <c r="F1494" s="28" t="s">
        <v>29</v>
      </c>
      <c r="G1494" s="35">
        <v>34721.699999999997</v>
      </c>
      <c r="H1494" s="35">
        <v>34721.699999999997</v>
      </c>
      <c r="I1494" s="35">
        <v>26101.8</v>
      </c>
      <c r="J1494" s="35">
        <v>26101.368490000001</v>
      </c>
      <c r="K1494" s="35">
        <v>24566.78167</v>
      </c>
      <c r="L1494" s="35">
        <f t="shared" si="656"/>
        <v>70.753395340665932</v>
      </c>
      <c r="M1494" s="35">
        <f t="shared" si="657"/>
        <v>94.119109295144398</v>
      </c>
    </row>
    <row r="1495" spans="1:13" ht="25.5">
      <c r="A1495" s="59" t="s">
        <v>602</v>
      </c>
      <c r="B1495" s="28" t="s">
        <v>595</v>
      </c>
      <c r="C1495" s="28" t="s">
        <v>17</v>
      </c>
      <c r="D1495" s="28" t="s">
        <v>19</v>
      </c>
      <c r="E1495" s="28" t="s">
        <v>603</v>
      </c>
      <c r="F1495" s="58" t="s">
        <v>0</v>
      </c>
      <c r="G1495" s="35">
        <f>G1496</f>
        <v>20286.400000000001</v>
      </c>
      <c r="H1495" s="35">
        <f t="shared" ref="H1495:K1496" si="678">H1496</f>
        <v>20286.400000000001</v>
      </c>
      <c r="I1495" s="35">
        <f t="shared" si="678"/>
        <v>15215.7</v>
      </c>
      <c r="J1495" s="35">
        <f t="shared" si="678"/>
        <v>15215.7</v>
      </c>
      <c r="K1495" s="35">
        <f t="shared" si="678"/>
        <v>12732.84994</v>
      </c>
      <c r="L1495" s="35">
        <f t="shared" si="656"/>
        <v>62.765448477797925</v>
      </c>
      <c r="M1495" s="35">
        <f t="shared" si="657"/>
        <v>83.682314582963642</v>
      </c>
    </row>
    <row r="1496" spans="1:13">
      <c r="A1496" s="59" t="s">
        <v>26</v>
      </c>
      <c r="B1496" s="28" t="s">
        <v>595</v>
      </c>
      <c r="C1496" s="28" t="s">
        <v>17</v>
      </c>
      <c r="D1496" s="28" t="s">
        <v>19</v>
      </c>
      <c r="E1496" s="28" t="s">
        <v>603</v>
      </c>
      <c r="F1496" s="28" t="s">
        <v>27</v>
      </c>
      <c r="G1496" s="35">
        <f>G1497</f>
        <v>20286.400000000001</v>
      </c>
      <c r="H1496" s="35">
        <f t="shared" si="678"/>
        <v>20286.400000000001</v>
      </c>
      <c r="I1496" s="35">
        <f t="shared" si="678"/>
        <v>15215.7</v>
      </c>
      <c r="J1496" s="35">
        <f t="shared" si="678"/>
        <v>15215.7</v>
      </c>
      <c r="K1496" s="35">
        <f t="shared" si="678"/>
        <v>12732.84994</v>
      </c>
      <c r="L1496" s="35">
        <f t="shared" si="656"/>
        <v>62.765448477797925</v>
      </c>
      <c r="M1496" s="35">
        <f t="shared" si="657"/>
        <v>83.682314582963642</v>
      </c>
    </row>
    <row r="1497" spans="1:13">
      <c r="A1497" s="59" t="s">
        <v>28</v>
      </c>
      <c r="B1497" s="28" t="s">
        <v>595</v>
      </c>
      <c r="C1497" s="28" t="s">
        <v>17</v>
      </c>
      <c r="D1497" s="28" t="s">
        <v>19</v>
      </c>
      <c r="E1497" s="28" t="s">
        <v>603</v>
      </c>
      <c r="F1497" s="28" t="s">
        <v>29</v>
      </c>
      <c r="G1497" s="35">
        <v>20286.400000000001</v>
      </c>
      <c r="H1497" s="35">
        <v>20286.400000000001</v>
      </c>
      <c r="I1497" s="35">
        <v>15215.7</v>
      </c>
      <c r="J1497" s="35">
        <v>15215.7</v>
      </c>
      <c r="K1497" s="35">
        <v>12732.84994</v>
      </c>
      <c r="L1497" s="35">
        <f t="shared" si="656"/>
        <v>62.765448477797925</v>
      </c>
      <c r="M1497" s="35">
        <f t="shared" si="657"/>
        <v>83.682314582963642</v>
      </c>
    </row>
    <row r="1498" spans="1:13">
      <c r="A1498" s="59" t="s">
        <v>604</v>
      </c>
      <c r="B1498" s="28" t="s">
        <v>595</v>
      </c>
      <c r="C1498" s="28" t="s">
        <v>17</v>
      </c>
      <c r="D1498" s="28" t="s">
        <v>93</v>
      </c>
      <c r="E1498" s="58" t="s">
        <v>0</v>
      </c>
      <c r="F1498" s="58" t="s">
        <v>0</v>
      </c>
      <c r="G1498" s="35">
        <f>G1499</f>
        <v>1287.2</v>
      </c>
      <c r="H1498" s="35">
        <f t="shared" ref="H1498:K1502" si="679">H1499</f>
        <v>1287.2</v>
      </c>
      <c r="I1498" s="35">
        <f t="shared" si="679"/>
        <v>1287.2</v>
      </c>
      <c r="J1498" s="35">
        <f t="shared" si="679"/>
        <v>1287.2</v>
      </c>
      <c r="K1498" s="35">
        <f t="shared" si="679"/>
        <v>226.26823999999999</v>
      </c>
      <c r="L1498" s="35">
        <f t="shared" si="656"/>
        <v>17.578328154133001</v>
      </c>
      <c r="M1498" s="35">
        <f t="shared" si="657"/>
        <v>17.578328154133001</v>
      </c>
    </row>
    <row r="1499" spans="1:13" ht="51">
      <c r="A1499" s="59" t="s">
        <v>596</v>
      </c>
      <c r="B1499" s="28" t="s">
        <v>595</v>
      </c>
      <c r="C1499" s="28" t="s">
        <v>17</v>
      </c>
      <c r="D1499" s="28" t="s">
        <v>93</v>
      </c>
      <c r="E1499" s="28" t="s">
        <v>597</v>
      </c>
      <c r="F1499" s="58" t="s">
        <v>0</v>
      </c>
      <c r="G1499" s="35">
        <f>G1500</f>
        <v>1287.2</v>
      </c>
      <c r="H1499" s="35">
        <f t="shared" si="679"/>
        <v>1287.2</v>
      </c>
      <c r="I1499" s="35">
        <f t="shared" si="679"/>
        <v>1287.2</v>
      </c>
      <c r="J1499" s="35">
        <f t="shared" si="679"/>
        <v>1287.2</v>
      </c>
      <c r="K1499" s="35">
        <f t="shared" si="679"/>
        <v>226.26823999999999</v>
      </c>
      <c r="L1499" s="35">
        <f t="shared" si="656"/>
        <v>17.578328154133001</v>
      </c>
      <c r="M1499" s="35">
        <f t="shared" si="657"/>
        <v>17.578328154133001</v>
      </c>
    </row>
    <row r="1500" spans="1:13" ht="51">
      <c r="A1500" s="59" t="s">
        <v>598</v>
      </c>
      <c r="B1500" s="28" t="s">
        <v>595</v>
      </c>
      <c r="C1500" s="28" t="s">
        <v>17</v>
      </c>
      <c r="D1500" s="28" t="s">
        <v>93</v>
      </c>
      <c r="E1500" s="28" t="s">
        <v>599</v>
      </c>
      <c r="F1500" s="58" t="s">
        <v>0</v>
      </c>
      <c r="G1500" s="35">
        <f>G1501</f>
        <v>1287.2</v>
      </c>
      <c r="H1500" s="35">
        <f t="shared" si="679"/>
        <v>1287.2</v>
      </c>
      <c r="I1500" s="35">
        <f t="shared" si="679"/>
        <v>1287.2</v>
      </c>
      <c r="J1500" s="35">
        <f t="shared" si="679"/>
        <v>1287.2</v>
      </c>
      <c r="K1500" s="35">
        <f t="shared" si="679"/>
        <v>226.26823999999999</v>
      </c>
      <c r="L1500" s="35">
        <f t="shared" si="656"/>
        <v>17.578328154133001</v>
      </c>
      <c r="M1500" s="35">
        <f t="shared" si="657"/>
        <v>17.578328154133001</v>
      </c>
    </row>
    <row r="1501" spans="1:13" ht="51">
      <c r="A1501" s="59" t="s">
        <v>605</v>
      </c>
      <c r="B1501" s="28" t="s">
        <v>595</v>
      </c>
      <c r="C1501" s="28" t="s">
        <v>17</v>
      </c>
      <c r="D1501" s="28" t="s">
        <v>93</v>
      </c>
      <c r="E1501" s="28" t="s">
        <v>606</v>
      </c>
      <c r="F1501" s="58" t="s">
        <v>0</v>
      </c>
      <c r="G1501" s="35">
        <f>G1502</f>
        <v>1287.2</v>
      </c>
      <c r="H1501" s="35">
        <f t="shared" si="679"/>
        <v>1287.2</v>
      </c>
      <c r="I1501" s="35">
        <f t="shared" si="679"/>
        <v>1287.2</v>
      </c>
      <c r="J1501" s="35">
        <f t="shared" si="679"/>
        <v>1287.2</v>
      </c>
      <c r="K1501" s="35">
        <f t="shared" si="679"/>
        <v>226.26823999999999</v>
      </c>
      <c r="L1501" s="35">
        <f t="shared" si="656"/>
        <v>17.578328154133001</v>
      </c>
      <c r="M1501" s="35">
        <f t="shared" si="657"/>
        <v>17.578328154133001</v>
      </c>
    </row>
    <row r="1502" spans="1:13">
      <c r="A1502" s="59" t="s">
        <v>26</v>
      </c>
      <c r="B1502" s="28" t="s">
        <v>595</v>
      </c>
      <c r="C1502" s="28" t="s">
        <v>17</v>
      </c>
      <c r="D1502" s="28" t="s">
        <v>93</v>
      </c>
      <c r="E1502" s="28" t="s">
        <v>606</v>
      </c>
      <c r="F1502" s="28" t="s">
        <v>27</v>
      </c>
      <c r="G1502" s="35">
        <f>G1503</f>
        <v>1287.2</v>
      </c>
      <c r="H1502" s="35">
        <f t="shared" si="679"/>
        <v>1287.2</v>
      </c>
      <c r="I1502" s="35">
        <f t="shared" si="679"/>
        <v>1287.2</v>
      </c>
      <c r="J1502" s="35">
        <f t="shared" si="679"/>
        <v>1287.2</v>
      </c>
      <c r="K1502" s="35">
        <f t="shared" si="679"/>
        <v>226.26823999999999</v>
      </c>
      <c r="L1502" s="35">
        <f t="shared" si="656"/>
        <v>17.578328154133001</v>
      </c>
      <c r="M1502" s="35">
        <f t="shared" si="657"/>
        <v>17.578328154133001</v>
      </c>
    </row>
    <row r="1503" spans="1:13">
      <c r="A1503" s="59" t="s">
        <v>28</v>
      </c>
      <c r="B1503" s="28" t="s">
        <v>595</v>
      </c>
      <c r="C1503" s="28" t="s">
        <v>17</v>
      </c>
      <c r="D1503" s="28" t="s">
        <v>93</v>
      </c>
      <c r="E1503" s="28" t="s">
        <v>606</v>
      </c>
      <c r="F1503" s="28" t="s">
        <v>29</v>
      </c>
      <c r="G1503" s="35">
        <v>1287.2</v>
      </c>
      <c r="H1503" s="35">
        <v>1287.2</v>
      </c>
      <c r="I1503" s="35">
        <v>1287.2</v>
      </c>
      <c r="J1503" s="35">
        <v>1287.2</v>
      </c>
      <c r="K1503" s="35">
        <v>226.26823999999999</v>
      </c>
      <c r="L1503" s="35">
        <f t="shared" si="656"/>
        <v>17.578328154133001</v>
      </c>
      <c r="M1503" s="35">
        <f t="shared" si="657"/>
        <v>17.578328154133001</v>
      </c>
    </row>
    <row r="1504" spans="1:13" ht="38.25">
      <c r="A1504" s="59" t="s">
        <v>607</v>
      </c>
      <c r="B1504" s="28" t="s">
        <v>595</v>
      </c>
      <c r="C1504" s="28" t="s">
        <v>17</v>
      </c>
      <c r="D1504" s="28" t="s">
        <v>32</v>
      </c>
      <c r="E1504" s="58" t="s">
        <v>0</v>
      </c>
      <c r="F1504" s="58" t="s">
        <v>0</v>
      </c>
      <c r="G1504" s="35">
        <f>G1505</f>
        <v>71756.900000000009</v>
      </c>
      <c r="H1504" s="35">
        <f t="shared" ref="H1504:K1505" si="680">H1505</f>
        <v>71756.900000000009</v>
      </c>
      <c r="I1504" s="35">
        <f t="shared" si="680"/>
        <v>56043</v>
      </c>
      <c r="J1504" s="35">
        <f t="shared" si="680"/>
        <v>55842</v>
      </c>
      <c r="K1504" s="35">
        <f t="shared" si="680"/>
        <v>52172.962550000004</v>
      </c>
      <c r="L1504" s="35">
        <f t="shared" si="656"/>
        <v>72.707938260989536</v>
      </c>
      <c r="M1504" s="35">
        <f t="shared" si="657"/>
        <v>93.094521260460724</v>
      </c>
    </row>
    <row r="1505" spans="1:13" ht="51">
      <c r="A1505" s="59" t="s">
        <v>596</v>
      </c>
      <c r="B1505" s="28" t="s">
        <v>595</v>
      </c>
      <c r="C1505" s="28" t="s">
        <v>17</v>
      </c>
      <c r="D1505" s="28" t="s">
        <v>32</v>
      </c>
      <c r="E1505" s="28" t="s">
        <v>597</v>
      </c>
      <c r="F1505" s="58" t="s">
        <v>0</v>
      </c>
      <c r="G1505" s="35">
        <f>G1506</f>
        <v>71756.900000000009</v>
      </c>
      <c r="H1505" s="35">
        <f t="shared" si="680"/>
        <v>71756.900000000009</v>
      </c>
      <c r="I1505" s="35">
        <f t="shared" si="680"/>
        <v>56043</v>
      </c>
      <c r="J1505" s="35">
        <f t="shared" si="680"/>
        <v>55842</v>
      </c>
      <c r="K1505" s="35">
        <f t="shared" si="680"/>
        <v>52172.962550000004</v>
      </c>
      <c r="L1505" s="35">
        <f t="shared" si="656"/>
        <v>72.707938260989536</v>
      </c>
      <c r="M1505" s="35">
        <f t="shared" si="657"/>
        <v>93.094521260460724</v>
      </c>
    </row>
    <row r="1506" spans="1:13" ht="51">
      <c r="A1506" s="59" t="s">
        <v>598</v>
      </c>
      <c r="B1506" s="28" t="s">
        <v>595</v>
      </c>
      <c r="C1506" s="28" t="s">
        <v>17</v>
      </c>
      <c r="D1506" s="28" t="s">
        <v>32</v>
      </c>
      <c r="E1506" s="28" t="s">
        <v>599</v>
      </c>
      <c r="F1506" s="58" t="s">
        <v>0</v>
      </c>
      <c r="G1506" s="35">
        <f>G1507+G1516</f>
        <v>71756.900000000009</v>
      </c>
      <c r="H1506" s="35">
        <f t="shared" ref="H1506:K1506" si="681">H1507+H1516</f>
        <v>71756.900000000009</v>
      </c>
      <c r="I1506" s="35">
        <f t="shared" si="681"/>
        <v>56043</v>
      </c>
      <c r="J1506" s="35">
        <f t="shared" si="681"/>
        <v>55842</v>
      </c>
      <c r="K1506" s="35">
        <f t="shared" si="681"/>
        <v>52172.962550000004</v>
      </c>
      <c r="L1506" s="35">
        <f t="shared" si="656"/>
        <v>72.707938260989536</v>
      </c>
      <c r="M1506" s="35">
        <f t="shared" si="657"/>
        <v>93.094521260460724</v>
      </c>
    </row>
    <row r="1507" spans="1:13" ht="25.5">
      <c r="A1507" s="59" t="s">
        <v>58</v>
      </c>
      <c r="B1507" s="28" t="s">
        <v>595</v>
      </c>
      <c r="C1507" s="28" t="s">
        <v>17</v>
      </c>
      <c r="D1507" s="28" t="s">
        <v>32</v>
      </c>
      <c r="E1507" s="28" t="s">
        <v>608</v>
      </c>
      <c r="F1507" s="58" t="s">
        <v>0</v>
      </c>
      <c r="G1507" s="35">
        <f>G1508+G1510+G1512+G1514</f>
        <v>64782.200000000004</v>
      </c>
      <c r="H1507" s="35">
        <f t="shared" ref="H1507:K1507" si="682">H1508+H1510+H1512+H1514</f>
        <v>64782.200000000004</v>
      </c>
      <c r="I1507" s="35">
        <f t="shared" si="682"/>
        <v>50548.3</v>
      </c>
      <c r="J1507" s="35">
        <f t="shared" si="682"/>
        <v>50347.3</v>
      </c>
      <c r="K1507" s="35">
        <f t="shared" si="682"/>
        <v>46690.687550000002</v>
      </c>
      <c r="L1507" s="35">
        <f t="shared" ref="L1507:L1570" si="683">K1507/H1507*100</f>
        <v>72.073328090123525</v>
      </c>
      <c r="M1507" s="35">
        <f t="shared" ref="M1507:M1570" si="684">K1507/I1507*100</f>
        <v>92.36846253978868</v>
      </c>
    </row>
    <row r="1508" spans="1:13" ht="63.75">
      <c r="A1508" s="59" t="s">
        <v>60</v>
      </c>
      <c r="B1508" s="28" t="s">
        <v>595</v>
      </c>
      <c r="C1508" s="28" t="s">
        <v>17</v>
      </c>
      <c r="D1508" s="28" t="s">
        <v>32</v>
      </c>
      <c r="E1508" s="28" t="s">
        <v>608</v>
      </c>
      <c r="F1508" s="28" t="s">
        <v>61</v>
      </c>
      <c r="G1508" s="35">
        <f>G1509</f>
        <v>62134.5</v>
      </c>
      <c r="H1508" s="35">
        <f t="shared" ref="H1508:K1508" si="685">H1509</f>
        <v>62134.5</v>
      </c>
      <c r="I1508" s="35">
        <f t="shared" si="685"/>
        <v>48950</v>
      </c>
      <c r="J1508" s="35">
        <f t="shared" si="685"/>
        <v>48950</v>
      </c>
      <c r="K1508" s="35">
        <f t="shared" si="685"/>
        <v>45688.873869999996</v>
      </c>
      <c r="L1508" s="35">
        <f t="shared" si="683"/>
        <v>73.532214582880684</v>
      </c>
      <c r="M1508" s="35">
        <f t="shared" si="684"/>
        <v>93.337842431052081</v>
      </c>
    </row>
    <row r="1509" spans="1:13" ht="25.5">
      <c r="A1509" s="59" t="s">
        <v>62</v>
      </c>
      <c r="B1509" s="28" t="s">
        <v>595</v>
      </c>
      <c r="C1509" s="28" t="s">
        <v>17</v>
      </c>
      <c r="D1509" s="28" t="s">
        <v>32</v>
      </c>
      <c r="E1509" s="28" t="s">
        <v>608</v>
      </c>
      <c r="F1509" s="28" t="s">
        <v>63</v>
      </c>
      <c r="G1509" s="35">
        <v>62134.5</v>
      </c>
      <c r="H1509" s="35">
        <f>46310.2+2178+13646.3</f>
        <v>62134.5</v>
      </c>
      <c r="I1509" s="35">
        <f>36300+1650+11000</f>
        <v>48950</v>
      </c>
      <c r="J1509" s="35">
        <f>36300+1650+11000</f>
        <v>48950</v>
      </c>
      <c r="K1509" s="35">
        <f>33749.15919+1585.80173+10353.91295</f>
        <v>45688.873869999996</v>
      </c>
      <c r="L1509" s="35">
        <f t="shared" si="683"/>
        <v>73.532214582880684</v>
      </c>
      <c r="M1509" s="35">
        <f t="shared" si="684"/>
        <v>93.337842431052081</v>
      </c>
    </row>
    <row r="1510" spans="1:13" ht="25.5">
      <c r="A1510" s="59" t="s">
        <v>64</v>
      </c>
      <c r="B1510" s="28" t="s">
        <v>595</v>
      </c>
      <c r="C1510" s="28" t="s">
        <v>17</v>
      </c>
      <c r="D1510" s="28" t="s">
        <v>32</v>
      </c>
      <c r="E1510" s="28" t="s">
        <v>608</v>
      </c>
      <c r="F1510" s="28" t="s">
        <v>65</v>
      </c>
      <c r="G1510" s="35">
        <f>G1511</f>
        <v>2537.4</v>
      </c>
      <c r="H1510" s="35">
        <f t="shared" ref="H1510:K1510" si="686">H1511</f>
        <v>2537.4</v>
      </c>
      <c r="I1510" s="35">
        <f t="shared" si="686"/>
        <v>1550</v>
      </c>
      <c r="J1510" s="35">
        <f t="shared" si="686"/>
        <v>1350</v>
      </c>
      <c r="K1510" s="35">
        <f t="shared" si="686"/>
        <v>957.87631999999996</v>
      </c>
      <c r="L1510" s="35">
        <f t="shared" si="683"/>
        <v>37.750308189485295</v>
      </c>
      <c r="M1510" s="35">
        <f t="shared" si="684"/>
        <v>61.798472258064521</v>
      </c>
    </row>
    <row r="1511" spans="1:13" ht="25.5">
      <c r="A1511" s="59" t="s">
        <v>66</v>
      </c>
      <c r="B1511" s="28" t="s">
        <v>595</v>
      </c>
      <c r="C1511" s="28" t="s">
        <v>17</v>
      </c>
      <c r="D1511" s="28" t="s">
        <v>32</v>
      </c>
      <c r="E1511" s="28" t="s">
        <v>608</v>
      </c>
      <c r="F1511" s="28" t="s">
        <v>67</v>
      </c>
      <c r="G1511" s="35">
        <v>2537.4</v>
      </c>
      <c r="H1511" s="35">
        <v>2537.4</v>
      </c>
      <c r="I1511" s="35">
        <v>1550</v>
      </c>
      <c r="J1511" s="35">
        <v>1350</v>
      </c>
      <c r="K1511" s="35">
        <v>957.87631999999996</v>
      </c>
      <c r="L1511" s="35">
        <f t="shared" si="683"/>
        <v>37.750308189485295</v>
      </c>
      <c r="M1511" s="35">
        <f t="shared" si="684"/>
        <v>61.798472258064521</v>
      </c>
    </row>
    <row r="1512" spans="1:13">
      <c r="A1512" s="59" t="s">
        <v>68</v>
      </c>
      <c r="B1512" s="28" t="s">
        <v>595</v>
      </c>
      <c r="C1512" s="28" t="s">
        <v>17</v>
      </c>
      <c r="D1512" s="28" t="s">
        <v>32</v>
      </c>
      <c r="E1512" s="28" t="s">
        <v>608</v>
      </c>
      <c r="F1512" s="28" t="s">
        <v>69</v>
      </c>
      <c r="G1512" s="35">
        <f>G1513</f>
        <v>60</v>
      </c>
      <c r="H1512" s="35">
        <f t="shared" ref="H1512:K1512" si="687">H1513</f>
        <v>60</v>
      </c>
      <c r="I1512" s="35">
        <f t="shared" si="687"/>
        <v>0</v>
      </c>
      <c r="J1512" s="35">
        <f t="shared" si="687"/>
        <v>0</v>
      </c>
      <c r="K1512" s="35">
        <f t="shared" si="687"/>
        <v>0</v>
      </c>
      <c r="L1512" s="35">
        <f t="shared" si="683"/>
        <v>0</v>
      </c>
      <c r="M1512" s="35">
        <v>0</v>
      </c>
    </row>
    <row r="1513" spans="1:13">
      <c r="A1513" s="59" t="s">
        <v>70</v>
      </c>
      <c r="B1513" s="28" t="s">
        <v>595</v>
      </c>
      <c r="C1513" s="28" t="s">
        <v>17</v>
      </c>
      <c r="D1513" s="28" t="s">
        <v>32</v>
      </c>
      <c r="E1513" s="28" t="s">
        <v>608</v>
      </c>
      <c r="F1513" s="28" t="s">
        <v>71</v>
      </c>
      <c r="G1513" s="35">
        <v>60</v>
      </c>
      <c r="H1513" s="35">
        <v>60</v>
      </c>
      <c r="I1513" s="35">
        <v>0</v>
      </c>
      <c r="J1513" s="35">
        <v>0</v>
      </c>
      <c r="K1513" s="35">
        <v>0</v>
      </c>
      <c r="L1513" s="35">
        <f t="shared" si="683"/>
        <v>0</v>
      </c>
      <c r="M1513" s="35">
        <v>0</v>
      </c>
    </row>
    <row r="1514" spans="1:13">
      <c r="A1514" s="59" t="s">
        <v>72</v>
      </c>
      <c r="B1514" s="28" t="s">
        <v>595</v>
      </c>
      <c r="C1514" s="28" t="s">
        <v>17</v>
      </c>
      <c r="D1514" s="28" t="s">
        <v>32</v>
      </c>
      <c r="E1514" s="28" t="s">
        <v>608</v>
      </c>
      <c r="F1514" s="28" t="s">
        <v>73</v>
      </c>
      <c r="G1514" s="35">
        <f>G1515</f>
        <v>50.3</v>
      </c>
      <c r="H1514" s="35">
        <f t="shared" ref="H1514:K1514" si="688">H1515</f>
        <v>50.3</v>
      </c>
      <c r="I1514" s="35">
        <f t="shared" si="688"/>
        <v>48.3</v>
      </c>
      <c r="J1514" s="35">
        <f t="shared" si="688"/>
        <v>47.3</v>
      </c>
      <c r="K1514" s="35">
        <f t="shared" si="688"/>
        <v>43.937360000000005</v>
      </c>
      <c r="L1514" s="35">
        <f t="shared" si="683"/>
        <v>87.350616302186893</v>
      </c>
      <c r="M1514" s="35">
        <f t="shared" si="684"/>
        <v>90.967619047619067</v>
      </c>
    </row>
    <row r="1515" spans="1:13">
      <c r="A1515" s="59" t="s">
        <v>74</v>
      </c>
      <c r="B1515" s="28" t="s">
        <v>595</v>
      </c>
      <c r="C1515" s="28" t="s">
        <v>17</v>
      </c>
      <c r="D1515" s="28" t="s">
        <v>32</v>
      </c>
      <c r="E1515" s="28" t="s">
        <v>608</v>
      </c>
      <c r="F1515" s="28" t="s">
        <v>75</v>
      </c>
      <c r="G1515" s="35">
        <v>50.3</v>
      </c>
      <c r="H1515" s="35">
        <v>50.3</v>
      </c>
      <c r="I1515" s="35">
        <v>48.3</v>
      </c>
      <c r="J1515" s="35">
        <v>47.3</v>
      </c>
      <c r="K1515" s="35">
        <f>3.398+40.53936</f>
        <v>43.937360000000005</v>
      </c>
      <c r="L1515" s="35">
        <f t="shared" si="683"/>
        <v>87.350616302186893</v>
      </c>
      <c r="M1515" s="35">
        <f t="shared" si="684"/>
        <v>90.967619047619067</v>
      </c>
    </row>
    <row r="1516" spans="1:13">
      <c r="A1516" s="59" t="s">
        <v>609</v>
      </c>
      <c r="B1516" s="28" t="s">
        <v>595</v>
      </c>
      <c r="C1516" s="28" t="s">
        <v>17</v>
      </c>
      <c r="D1516" s="28" t="s">
        <v>32</v>
      </c>
      <c r="E1516" s="28" t="s">
        <v>610</v>
      </c>
      <c r="F1516" s="58" t="s">
        <v>0</v>
      </c>
      <c r="G1516" s="35">
        <f>G1517</f>
        <v>6974.7</v>
      </c>
      <c r="H1516" s="35">
        <f t="shared" ref="H1516:K1517" si="689">H1517</f>
        <v>6974.7</v>
      </c>
      <c r="I1516" s="35">
        <f t="shared" si="689"/>
        <v>5494.7</v>
      </c>
      <c r="J1516" s="35">
        <f t="shared" si="689"/>
        <v>5494.7</v>
      </c>
      <c r="K1516" s="35">
        <f t="shared" si="689"/>
        <v>5482.2749999999996</v>
      </c>
      <c r="L1516" s="35">
        <f t="shared" si="683"/>
        <v>78.602305475504323</v>
      </c>
      <c r="M1516" s="35">
        <f t="shared" si="684"/>
        <v>99.77387300489562</v>
      </c>
    </row>
    <row r="1517" spans="1:13" ht="25.5">
      <c r="A1517" s="59" t="s">
        <v>64</v>
      </c>
      <c r="B1517" s="28" t="s">
        <v>595</v>
      </c>
      <c r="C1517" s="28" t="s">
        <v>17</v>
      </c>
      <c r="D1517" s="28" t="s">
        <v>32</v>
      </c>
      <c r="E1517" s="28" t="s">
        <v>610</v>
      </c>
      <c r="F1517" s="28" t="s">
        <v>65</v>
      </c>
      <c r="G1517" s="35">
        <f>G1518</f>
        <v>6974.7</v>
      </c>
      <c r="H1517" s="35">
        <f t="shared" si="689"/>
        <v>6974.7</v>
      </c>
      <c r="I1517" s="35">
        <f t="shared" si="689"/>
        <v>5494.7</v>
      </c>
      <c r="J1517" s="35">
        <f t="shared" si="689"/>
        <v>5494.7</v>
      </c>
      <c r="K1517" s="35">
        <f t="shared" si="689"/>
        <v>5482.2749999999996</v>
      </c>
      <c r="L1517" s="35">
        <f t="shared" si="683"/>
        <v>78.602305475504323</v>
      </c>
      <c r="M1517" s="35">
        <f t="shared" si="684"/>
        <v>99.77387300489562</v>
      </c>
    </row>
    <row r="1518" spans="1:13" ht="25.5">
      <c r="A1518" s="59" t="s">
        <v>66</v>
      </c>
      <c r="B1518" s="28" t="s">
        <v>595</v>
      </c>
      <c r="C1518" s="28" t="s">
        <v>17</v>
      </c>
      <c r="D1518" s="28" t="s">
        <v>32</v>
      </c>
      <c r="E1518" s="28" t="s">
        <v>610</v>
      </c>
      <c r="F1518" s="28" t="s">
        <v>67</v>
      </c>
      <c r="G1518" s="35">
        <v>6974.7</v>
      </c>
      <c r="H1518" s="35">
        <v>6974.7</v>
      </c>
      <c r="I1518" s="35">
        <v>5494.7</v>
      </c>
      <c r="J1518" s="35">
        <v>5494.7</v>
      </c>
      <c r="K1518" s="35">
        <v>5482.2749999999996</v>
      </c>
      <c r="L1518" s="35">
        <f t="shared" si="683"/>
        <v>78.602305475504323</v>
      </c>
      <c r="M1518" s="35">
        <f t="shared" si="684"/>
        <v>99.77387300489562</v>
      </c>
    </row>
    <row r="1519" spans="1:13">
      <c r="A1519" s="59" t="s">
        <v>611</v>
      </c>
      <c r="B1519" s="28" t="s">
        <v>595</v>
      </c>
      <c r="C1519" s="28" t="s">
        <v>17</v>
      </c>
      <c r="D1519" s="28" t="s">
        <v>154</v>
      </c>
      <c r="E1519" s="58" t="s">
        <v>0</v>
      </c>
      <c r="F1519" s="58" t="s">
        <v>0</v>
      </c>
      <c r="G1519" s="35">
        <f>G1520</f>
        <v>216714.8</v>
      </c>
      <c r="H1519" s="35">
        <f t="shared" ref="H1519:K1522" si="690">H1520</f>
        <v>39462.150629999996</v>
      </c>
      <c r="I1519" s="35">
        <f t="shared" si="690"/>
        <v>171.864</v>
      </c>
      <c r="J1519" s="35">
        <f t="shared" si="690"/>
        <v>0</v>
      </c>
      <c r="K1519" s="35">
        <f t="shared" si="690"/>
        <v>0</v>
      </c>
      <c r="L1519" s="35">
        <f t="shared" si="683"/>
        <v>0</v>
      </c>
      <c r="M1519" s="35">
        <f t="shared" si="684"/>
        <v>0</v>
      </c>
    </row>
    <row r="1520" spans="1:13">
      <c r="A1520" s="59" t="s">
        <v>612</v>
      </c>
      <c r="B1520" s="28" t="s">
        <v>595</v>
      </c>
      <c r="C1520" s="28" t="s">
        <v>17</v>
      </c>
      <c r="D1520" s="28" t="s">
        <v>154</v>
      </c>
      <c r="E1520" s="28" t="s">
        <v>613</v>
      </c>
      <c r="F1520" s="58" t="s">
        <v>0</v>
      </c>
      <c r="G1520" s="35">
        <f>G1521</f>
        <v>216714.8</v>
      </c>
      <c r="H1520" s="35">
        <f t="shared" si="690"/>
        <v>39462.150629999996</v>
      </c>
      <c r="I1520" s="35">
        <f t="shared" si="690"/>
        <v>171.864</v>
      </c>
      <c r="J1520" s="35">
        <f t="shared" si="690"/>
        <v>0</v>
      </c>
      <c r="K1520" s="35">
        <f t="shared" si="690"/>
        <v>0</v>
      </c>
      <c r="L1520" s="35">
        <f t="shared" si="683"/>
        <v>0</v>
      </c>
      <c r="M1520" s="35">
        <f t="shared" si="684"/>
        <v>0</v>
      </c>
    </row>
    <row r="1521" spans="1:13">
      <c r="A1521" s="59" t="s">
        <v>612</v>
      </c>
      <c r="B1521" s="28" t="s">
        <v>595</v>
      </c>
      <c r="C1521" s="28" t="s">
        <v>17</v>
      </c>
      <c r="D1521" s="28" t="s">
        <v>154</v>
      </c>
      <c r="E1521" s="28" t="s">
        <v>614</v>
      </c>
      <c r="F1521" s="58" t="s">
        <v>0</v>
      </c>
      <c r="G1521" s="35">
        <f>G1522</f>
        <v>216714.8</v>
      </c>
      <c r="H1521" s="35">
        <f t="shared" si="690"/>
        <v>39462.150629999996</v>
      </c>
      <c r="I1521" s="35">
        <f t="shared" si="690"/>
        <v>171.864</v>
      </c>
      <c r="J1521" s="35">
        <f t="shared" si="690"/>
        <v>0</v>
      </c>
      <c r="K1521" s="35">
        <f t="shared" si="690"/>
        <v>0</v>
      </c>
      <c r="L1521" s="35">
        <f t="shared" si="683"/>
        <v>0</v>
      </c>
      <c r="M1521" s="35">
        <f t="shared" si="684"/>
        <v>0</v>
      </c>
    </row>
    <row r="1522" spans="1:13">
      <c r="A1522" s="59" t="s">
        <v>72</v>
      </c>
      <c r="B1522" s="28" t="s">
        <v>595</v>
      </c>
      <c r="C1522" s="28" t="s">
        <v>17</v>
      </c>
      <c r="D1522" s="28" t="s">
        <v>154</v>
      </c>
      <c r="E1522" s="28" t="s">
        <v>614</v>
      </c>
      <c r="F1522" s="28" t="s">
        <v>73</v>
      </c>
      <c r="G1522" s="35">
        <f>G1523</f>
        <v>216714.8</v>
      </c>
      <c r="H1522" s="35">
        <f t="shared" si="690"/>
        <v>39462.150629999996</v>
      </c>
      <c r="I1522" s="35">
        <f t="shared" si="690"/>
        <v>171.864</v>
      </c>
      <c r="J1522" s="35">
        <f t="shared" si="690"/>
        <v>0</v>
      </c>
      <c r="K1522" s="35">
        <f t="shared" si="690"/>
        <v>0</v>
      </c>
      <c r="L1522" s="35">
        <f t="shared" si="683"/>
        <v>0</v>
      </c>
      <c r="M1522" s="35">
        <f t="shared" si="684"/>
        <v>0</v>
      </c>
    </row>
    <row r="1523" spans="1:13">
      <c r="A1523" s="59" t="s">
        <v>369</v>
      </c>
      <c r="B1523" s="28" t="s">
        <v>595</v>
      </c>
      <c r="C1523" s="28" t="s">
        <v>17</v>
      </c>
      <c r="D1523" s="28" t="s">
        <v>154</v>
      </c>
      <c r="E1523" s="28" t="s">
        <v>614</v>
      </c>
      <c r="F1523" s="28" t="s">
        <v>370</v>
      </c>
      <c r="G1523" s="35">
        <v>216714.8</v>
      </c>
      <c r="H1523" s="35">
        <v>39462.150629999996</v>
      </c>
      <c r="I1523" s="35">
        <v>171.864</v>
      </c>
      <c r="J1523" s="35">
        <v>0</v>
      </c>
      <c r="K1523" s="35">
        <v>0</v>
      </c>
      <c r="L1523" s="35">
        <f t="shared" si="683"/>
        <v>0</v>
      </c>
      <c r="M1523" s="35">
        <f t="shared" si="684"/>
        <v>0</v>
      </c>
    </row>
    <row r="1524" spans="1:13">
      <c r="A1524" s="59" t="s">
        <v>386</v>
      </c>
      <c r="B1524" s="28" t="s">
        <v>595</v>
      </c>
      <c r="C1524" s="28" t="s">
        <v>17</v>
      </c>
      <c r="D1524" s="28" t="s">
        <v>387</v>
      </c>
      <c r="E1524" s="58" t="s">
        <v>0</v>
      </c>
      <c r="F1524" s="58" t="s">
        <v>0</v>
      </c>
      <c r="G1524" s="35">
        <f>G1525+G1532+G1540</f>
        <v>450565</v>
      </c>
      <c r="H1524" s="35">
        <f>H1525+H1532+H1540+H1544</f>
        <v>452407.58617000002</v>
      </c>
      <c r="I1524" s="35">
        <f t="shared" ref="I1524:K1524" si="691">I1525+I1532+I1540+I1544</f>
        <v>18937.116479999997</v>
      </c>
      <c r="J1524" s="35">
        <f t="shared" si="691"/>
        <v>17886.99567</v>
      </c>
      <c r="K1524" s="35">
        <f t="shared" si="691"/>
        <v>17883.156569999999</v>
      </c>
      <c r="L1524" s="35">
        <f t="shared" si="683"/>
        <v>3.9528860957871053</v>
      </c>
      <c r="M1524" s="35">
        <f t="shared" si="684"/>
        <v>94.434422415296893</v>
      </c>
    </row>
    <row r="1525" spans="1:13" ht="51">
      <c r="A1525" s="59" t="s">
        <v>596</v>
      </c>
      <c r="B1525" s="28" t="s">
        <v>595</v>
      </c>
      <c r="C1525" s="28" t="s">
        <v>17</v>
      </c>
      <c r="D1525" s="28" t="s">
        <v>387</v>
      </c>
      <c r="E1525" s="28" t="s">
        <v>597</v>
      </c>
      <c r="F1525" s="58" t="s">
        <v>0</v>
      </c>
      <c r="G1525" s="35">
        <f>G1526</f>
        <v>30233</v>
      </c>
      <c r="H1525" s="35">
        <f t="shared" ref="H1525:K1527" si="692">H1526</f>
        <v>30233</v>
      </c>
      <c r="I1525" s="35">
        <f t="shared" si="692"/>
        <v>18510.016479999998</v>
      </c>
      <c r="J1525" s="35">
        <f t="shared" si="692"/>
        <v>17598.54567</v>
      </c>
      <c r="K1525" s="35">
        <f t="shared" si="692"/>
        <v>17598.54567</v>
      </c>
      <c r="L1525" s="35">
        <f t="shared" si="683"/>
        <v>58.209723381735188</v>
      </c>
      <c r="M1525" s="35">
        <f t="shared" si="684"/>
        <v>95.075796874709212</v>
      </c>
    </row>
    <row r="1526" spans="1:13" ht="51">
      <c r="A1526" s="59" t="s">
        <v>598</v>
      </c>
      <c r="B1526" s="28" t="s">
        <v>595</v>
      </c>
      <c r="C1526" s="28" t="s">
        <v>17</v>
      </c>
      <c r="D1526" s="28" t="s">
        <v>387</v>
      </c>
      <c r="E1526" s="28" t="s">
        <v>599</v>
      </c>
      <c r="F1526" s="58" t="s">
        <v>0</v>
      </c>
      <c r="G1526" s="35">
        <f>G1527</f>
        <v>30233</v>
      </c>
      <c r="H1526" s="35">
        <f t="shared" si="692"/>
        <v>30233</v>
      </c>
      <c r="I1526" s="35">
        <f t="shared" si="692"/>
        <v>18510.016479999998</v>
      </c>
      <c r="J1526" s="35">
        <f t="shared" si="692"/>
        <v>17598.54567</v>
      </c>
      <c r="K1526" s="35">
        <f t="shared" si="692"/>
        <v>17598.54567</v>
      </c>
      <c r="L1526" s="35">
        <f t="shared" si="683"/>
        <v>58.209723381735188</v>
      </c>
      <c r="M1526" s="35">
        <f t="shared" si="684"/>
        <v>95.075796874709212</v>
      </c>
    </row>
    <row r="1527" spans="1:13">
      <c r="A1527" s="59" t="s">
        <v>609</v>
      </c>
      <c r="B1527" s="28" t="s">
        <v>595</v>
      </c>
      <c r="C1527" s="28" t="s">
        <v>17</v>
      </c>
      <c r="D1527" s="28" t="s">
        <v>387</v>
      </c>
      <c r="E1527" s="28" t="s">
        <v>610</v>
      </c>
      <c r="F1527" s="58" t="s">
        <v>0</v>
      </c>
      <c r="G1527" s="35">
        <f>G1528</f>
        <v>30233</v>
      </c>
      <c r="H1527" s="35">
        <f t="shared" si="692"/>
        <v>30233</v>
      </c>
      <c r="I1527" s="35">
        <f t="shared" si="692"/>
        <v>18510.016479999998</v>
      </c>
      <c r="J1527" s="35">
        <f t="shared" si="692"/>
        <v>17598.54567</v>
      </c>
      <c r="K1527" s="35">
        <f t="shared" si="692"/>
        <v>17598.54567</v>
      </c>
      <c r="L1527" s="35">
        <f t="shared" si="683"/>
        <v>58.209723381735188</v>
      </c>
      <c r="M1527" s="35">
        <f t="shared" si="684"/>
        <v>95.075796874709212</v>
      </c>
    </row>
    <row r="1528" spans="1:13">
      <c r="A1528" s="59" t="s">
        <v>72</v>
      </c>
      <c r="B1528" s="28" t="s">
        <v>595</v>
      </c>
      <c r="C1528" s="28" t="s">
        <v>17</v>
      </c>
      <c r="D1528" s="28" t="s">
        <v>387</v>
      </c>
      <c r="E1528" s="28" t="s">
        <v>610</v>
      </c>
      <c r="F1528" s="28" t="s">
        <v>73</v>
      </c>
      <c r="G1528" s="35">
        <f>G1529+G1531</f>
        <v>30233</v>
      </c>
      <c r="H1528" s="35">
        <f>H1529+H1531+H1530</f>
        <v>30233</v>
      </c>
      <c r="I1528" s="35">
        <f t="shared" ref="I1528:K1528" si="693">I1529+I1531+I1530</f>
        <v>18510.016479999998</v>
      </c>
      <c r="J1528" s="35">
        <f t="shared" si="693"/>
        <v>17598.54567</v>
      </c>
      <c r="K1528" s="35">
        <f t="shared" si="693"/>
        <v>17598.54567</v>
      </c>
      <c r="L1528" s="35">
        <f t="shared" si="683"/>
        <v>58.209723381735188</v>
      </c>
      <c r="M1528" s="35">
        <f t="shared" si="684"/>
        <v>95.075796874709212</v>
      </c>
    </row>
    <row r="1529" spans="1:13">
      <c r="A1529" s="59" t="s">
        <v>84</v>
      </c>
      <c r="B1529" s="28" t="s">
        <v>595</v>
      </c>
      <c r="C1529" s="28" t="s">
        <v>17</v>
      </c>
      <c r="D1529" s="28" t="s">
        <v>387</v>
      </c>
      <c r="E1529" s="28" t="s">
        <v>610</v>
      </c>
      <c r="F1529" s="28" t="s">
        <v>85</v>
      </c>
      <c r="G1529" s="35">
        <v>29233</v>
      </c>
      <c r="H1529" s="35">
        <v>29233</v>
      </c>
      <c r="I1529" s="35">
        <v>17760.016479999998</v>
      </c>
      <c r="J1529" s="35">
        <v>16848.54567</v>
      </c>
      <c r="K1529" s="35">
        <v>16848.54567</v>
      </c>
      <c r="L1529" s="35">
        <f t="shared" si="683"/>
        <v>57.635363014401534</v>
      </c>
      <c r="M1529" s="35">
        <f t="shared" si="684"/>
        <v>94.867849300554269</v>
      </c>
    </row>
    <row r="1530" spans="1:13" s="49" customFormat="1">
      <c r="A1530" s="59" t="s">
        <v>74</v>
      </c>
      <c r="B1530" s="28" t="s">
        <v>595</v>
      </c>
      <c r="C1530" s="28" t="s">
        <v>17</v>
      </c>
      <c r="D1530" s="28" t="s">
        <v>387</v>
      </c>
      <c r="E1530" s="28" t="s">
        <v>610</v>
      </c>
      <c r="F1530" s="28">
        <v>850</v>
      </c>
      <c r="G1530" s="35"/>
      <c r="H1530" s="35">
        <v>1000</v>
      </c>
      <c r="I1530" s="35">
        <v>750</v>
      </c>
      <c r="J1530" s="35">
        <v>750</v>
      </c>
      <c r="K1530" s="35">
        <v>750</v>
      </c>
      <c r="L1530" s="35">
        <f t="shared" si="683"/>
        <v>75</v>
      </c>
      <c r="M1530" s="35">
        <f t="shared" si="684"/>
        <v>100</v>
      </c>
    </row>
    <row r="1531" spans="1:13">
      <c r="A1531" s="59" t="s">
        <v>615</v>
      </c>
      <c r="B1531" s="28" t="s">
        <v>595</v>
      </c>
      <c r="C1531" s="28" t="s">
        <v>17</v>
      </c>
      <c r="D1531" s="28" t="s">
        <v>387</v>
      </c>
      <c r="E1531" s="28" t="s">
        <v>610</v>
      </c>
      <c r="F1531" s="28" t="s">
        <v>616</v>
      </c>
      <c r="G1531" s="35">
        <v>1000</v>
      </c>
      <c r="H1531" s="35">
        <v>0</v>
      </c>
      <c r="I1531" s="35">
        <v>0</v>
      </c>
      <c r="J1531" s="35">
        <v>0</v>
      </c>
      <c r="K1531" s="35">
        <v>0</v>
      </c>
      <c r="L1531" s="35">
        <v>0</v>
      </c>
      <c r="M1531" s="35">
        <v>0</v>
      </c>
    </row>
    <row r="1532" spans="1:13" ht="51">
      <c r="A1532" s="59" t="s">
        <v>377</v>
      </c>
      <c r="B1532" s="28" t="s">
        <v>595</v>
      </c>
      <c r="C1532" s="28" t="s">
        <v>17</v>
      </c>
      <c r="D1532" s="28" t="s">
        <v>387</v>
      </c>
      <c r="E1532" s="28" t="s">
        <v>378</v>
      </c>
      <c r="F1532" s="58" t="s">
        <v>0</v>
      </c>
      <c r="G1532" s="35">
        <f>G1533</f>
        <v>705</v>
      </c>
      <c r="H1532" s="35">
        <f t="shared" ref="H1532:K1532" si="694">H1533</f>
        <v>705</v>
      </c>
      <c r="I1532" s="35">
        <f t="shared" si="694"/>
        <v>427.1</v>
      </c>
      <c r="J1532" s="35">
        <f t="shared" si="694"/>
        <v>288.45</v>
      </c>
      <c r="K1532" s="35">
        <f t="shared" si="694"/>
        <v>284.61090000000002</v>
      </c>
      <c r="L1532" s="35">
        <f t="shared" si="683"/>
        <v>40.370340425531914</v>
      </c>
      <c r="M1532" s="35">
        <f t="shared" si="684"/>
        <v>66.638000468274399</v>
      </c>
    </row>
    <row r="1533" spans="1:13" ht="25.5">
      <c r="A1533" s="59" t="s">
        <v>617</v>
      </c>
      <c r="B1533" s="28" t="s">
        <v>595</v>
      </c>
      <c r="C1533" s="28" t="s">
        <v>17</v>
      </c>
      <c r="D1533" s="28" t="s">
        <v>387</v>
      </c>
      <c r="E1533" s="28" t="s">
        <v>618</v>
      </c>
      <c r="F1533" s="58" t="s">
        <v>0</v>
      </c>
      <c r="G1533" s="35">
        <f>G1534+G1536+G1538</f>
        <v>705</v>
      </c>
      <c r="H1533" s="35">
        <f t="shared" ref="H1533:K1533" si="695">H1534+H1536+H1538</f>
        <v>705</v>
      </c>
      <c r="I1533" s="35">
        <f t="shared" si="695"/>
        <v>427.1</v>
      </c>
      <c r="J1533" s="35">
        <f t="shared" si="695"/>
        <v>288.45</v>
      </c>
      <c r="K1533" s="35">
        <f t="shared" si="695"/>
        <v>284.61090000000002</v>
      </c>
      <c r="L1533" s="35">
        <f t="shared" si="683"/>
        <v>40.370340425531914</v>
      </c>
      <c r="M1533" s="35">
        <f t="shared" si="684"/>
        <v>66.638000468274399</v>
      </c>
    </row>
    <row r="1534" spans="1:13" ht="63.75">
      <c r="A1534" s="59" t="s">
        <v>60</v>
      </c>
      <c r="B1534" s="28" t="s">
        <v>595</v>
      </c>
      <c r="C1534" s="28" t="s">
        <v>17</v>
      </c>
      <c r="D1534" s="28" t="s">
        <v>387</v>
      </c>
      <c r="E1534" s="28" t="s">
        <v>618</v>
      </c>
      <c r="F1534" s="28" t="s">
        <v>61</v>
      </c>
      <c r="G1534" s="35">
        <f>G1535</f>
        <v>230</v>
      </c>
      <c r="H1534" s="35">
        <f t="shared" ref="H1534:K1534" si="696">H1535</f>
        <v>230</v>
      </c>
      <c r="I1534" s="35">
        <f t="shared" si="696"/>
        <v>172.1</v>
      </c>
      <c r="J1534" s="35">
        <f t="shared" si="696"/>
        <v>112.3</v>
      </c>
      <c r="K1534" s="35">
        <f t="shared" si="696"/>
        <v>109.37</v>
      </c>
      <c r="L1534" s="35">
        <f t="shared" si="683"/>
        <v>47.552173913043482</v>
      </c>
      <c r="M1534" s="35">
        <f t="shared" si="684"/>
        <v>63.550261475886117</v>
      </c>
    </row>
    <row r="1535" spans="1:13" ht="25.5">
      <c r="A1535" s="59" t="s">
        <v>62</v>
      </c>
      <c r="B1535" s="28" t="s">
        <v>595</v>
      </c>
      <c r="C1535" s="28" t="s">
        <v>17</v>
      </c>
      <c r="D1535" s="28" t="s">
        <v>387</v>
      </c>
      <c r="E1535" s="28" t="s">
        <v>618</v>
      </c>
      <c r="F1535" s="28" t="s">
        <v>63</v>
      </c>
      <c r="G1535" s="35">
        <v>230</v>
      </c>
      <c r="H1535" s="35">
        <v>230</v>
      </c>
      <c r="I1535" s="35">
        <v>172.1</v>
      </c>
      <c r="J1535" s="35">
        <v>112.3</v>
      </c>
      <c r="K1535" s="35">
        <v>109.37</v>
      </c>
      <c r="L1535" s="35">
        <f t="shared" si="683"/>
        <v>47.552173913043482</v>
      </c>
      <c r="M1535" s="35">
        <f t="shared" si="684"/>
        <v>63.550261475886117</v>
      </c>
    </row>
    <row r="1536" spans="1:13" ht="25.5">
      <c r="A1536" s="59" t="s">
        <v>64</v>
      </c>
      <c r="B1536" s="28" t="s">
        <v>595</v>
      </c>
      <c r="C1536" s="28" t="s">
        <v>17</v>
      </c>
      <c r="D1536" s="28" t="s">
        <v>387</v>
      </c>
      <c r="E1536" s="28" t="s">
        <v>618</v>
      </c>
      <c r="F1536" s="28" t="s">
        <v>65</v>
      </c>
      <c r="G1536" s="35">
        <f>G1537</f>
        <v>475</v>
      </c>
      <c r="H1536" s="35">
        <f t="shared" ref="H1536:K1536" si="697">H1537</f>
        <v>475</v>
      </c>
      <c r="I1536" s="35">
        <f t="shared" si="697"/>
        <v>255</v>
      </c>
      <c r="J1536" s="35">
        <f t="shared" si="697"/>
        <v>176.15</v>
      </c>
      <c r="K1536" s="35">
        <f t="shared" si="697"/>
        <v>175.24090000000001</v>
      </c>
      <c r="L1536" s="35">
        <f t="shared" si="683"/>
        <v>36.892821052631582</v>
      </c>
      <c r="M1536" s="35">
        <f t="shared" si="684"/>
        <v>68.721921568627451</v>
      </c>
    </row>
    <row r="1537" spans="1:13" ht="25.5">
      <c r="A1537" s="59" t="s">
        <v>66</v>
      </c>
      <c r="B1537" s="28" t="s">
        <v>595</v>
      </c>
      <c r="C1537" s="28" t="s">
        <v>17</v>
      </c>
      <c r="D1537" s="28" t="s">
        <v>387</v>
      </c>
      <c r="E1537" s="28" t="s">
        <v>618</v>
      </c>
      <c r="F1537" s="28" t="s">
        <v>67</v>
      </c>
      <c r="G1537" s="35">
        <v>475</v>
      </c>
      <c r="H1537" s="35">
        <v>475</v>
      </c>
      <c r="I1537" s="35">
        <v>255</v>
      </c>
      <c r="J1537" s="35">
        <v>176.15</v>
      </c>
      <c r="K1537" s="35">
        <v>175.24090000000001</v>
      </c>
      <c r="L1537" s="35">
        <f t="shared" si="683"/>
        <v>36.892821052631582</v>
      </c>
      <c r="M1537" s="35">
        <f t="shared" si="684"/>
        <v>68.721921568627451</v>
      </c>
    </row>
    <row r="1538" spans="1:13" hidden="1">
      <c r="A1538" s="59" t="s">
        <v>68</v>
      </c>
      <c r="B1538" s="28" t="s">
        <v>595</v>
      </c>
      <c r="C1538" s="28" t="s">
        <v>17</v>
      </c>
      <c r="D1538" s="28" t="s">
        <v>387</v>
      </c>
      <c r="E1538" s="28" t="s">
        <v>618</v>
      </c>
      <c r="F1538" s="28" t="s">
        <v>69</v>
      </c>
      <c r="G1538" s="35">
        <f>G1539</f>
        <v>0</v>
      </c>
      <c r="H1538" s="35">
        <f t="shared" ref="H1538:K1538" si="698">H1539</f>
        <v>0</v>
      </c>
      <c r="I1538" s="35">
        <f t="shared" si="698"/>
        <v>0</v>
      </c>
      <c r="J1538" s="35">
        <f t="shared" si="698"/>
        <v>0</v>
      </c>
      <c r="K1538" s="35">
        <f t="shared" si="698"/>
        <v>0</v>
      </c>
      <c r="L1538" s="35" t="e">
        <f t="shared" si="683"/>
        <v>#DIV/0!</v>
      </c>
      <c r="M1538" s="35" t="e">
        <f t="shared" si="684"/>
        <v>#DIV/0!</v>
      </c>
    </row>
    <row r="1539" spans="1:13" hidden="1">
      <c r="A1539" s="59" t="s">
        <v>373</v>
      </c>
      <c r="B1539" s="28" t="s">
        <v>595</v>
      </c>
      <c r="C1539" s="28" t="s">
        <v>17</v>
      </c>
      <c r="D1539" s="28" t="s">
        <v>387</v>
      </c>
      <c r="E1539" s="28" t="s">
        <v>618</v>
      </c>
      <c r="F1539" s="28" t="s">
        <v>374</v>
      </c>
      <c r="G1539" s="35"/>
      <c r="H1539" s="35"/>
      <c r="I1539" s="35"/>
      <c r="J1539" s="35"/>
      <c r="K1539" s="35"/>
      <c r="L1539" s="35" t="e">
        <f t="shared" si="683"/>
        <v>#DIV/0!</v>
      </c>
      <c r="M1539" s="35" t="e">
        <f t="shared" si="684"/>
        <v>#DIV/0!</v>
      </c>
    </row>
    <row r="1540" spans="1:13" ht="76.5">
      <c r="A1540" s="59" t="s">
        <v>619</v>
      </c>
      <c r="B1540" s="28" t="s">
        <v>595</v>
      </c>
      <c r="C1540" s="28" t="s">
        <v>17</v>
      </c>
      <c r="D1540" s="28" t="s">
        <v>387</v>
      </c>
      <c r="E1540" s="28" t="s">
        <v>620</v>
      </c>
      <c r="F1540" s="58" t="s">
        <v>0</v>
      </c>
      <c r="G1540" s="35">
        <f>G1541</f>
        <v>419627</v>
      </c>
      <c r="H1540" s="35">
        <f t="shared" ref="H1540:K1542" si="699">H1541</f>
        <v>419627</v>
      </c>
      <c r="I1540" s="35">
        <f t="shared" si="699"/>
        <v>0</v>
      </c>
      <c r="J1540" s="35">
        <f t="shared" si="699"/>
        <v>0</v>
      </c>
      <c r="K1540" s="35">
        <f t="shared" si="699"/>
        <v>0</v>
      </c>
      <c r="L1540" s="35">
        <f t="shared" si="683"/>
        <v>0</v>
      </c>
      <c r="M1540" s="35">
        <v>0</v>
      </c>
    </row>
    <row r="1541" spans="1:13" ht="76.5">
      <c r="A1541" s="59" t="s">
        <v>619</v>
      </c>
      <c r="B1541" s="28" t="s">
        <v>595</v>
      </c>
      <c r="C1541" s="28" t="s">
        <v>17</v>
      </c>
      <c r="D1541" s="28" t="s">
        <v>387</v>
      </c>
      <c r="E1541" s="28" t="s">
        <v>621</v>
      </c>
      <c r="F1541" s="58" t="s">
        <v>0</v>
      </c>
      <c r="G1541" s="35">
        <f>G1542</f>
        <v>419627</v>
      </c>
      <c r="H1541" s="35">
        <f t="shared" si="699"/>
        <v>419627</v>
      </c>
      <c r="I1541" s="35">
        <f t="shared" si="699"/>
        <v>0</v>
      </c>
      <c r="J1541" s="35">
        <f t="shared" si="699"/>
        <v>0</v>
      </c>
      <c r="K1541" s="35">
        <f t="shared" si="699"/>
        <v>0</v>
      </c>
      <c r="L1541" s="35">
        <f t="shared" si="683"/>
        <v>0</v>
      </c>
      <c r="M1541" s="35">
        <v>0</v>
      </c>
    </row>
    <row r="1542" spans="1:13">
      <c r="A1542" s="59" t="s">
        <v>72</v>
      </c>
      <c r="B1542" s="28" t="s">
        <v>595</v>
      </c>
      <c r="C1542" s="28" t="s">
        <v>17</v>
      </c>
      <c r="D1542" s="28" t="s">
        <v>387</v>
      </c>
      <c r="E1542" s="28" t="s">
        <v>621</v>
      </c>
      <c r="F1542" s="28" t="s">
        <v>73</v>
      </c>
      <c r="G1542" s="35">
        <f>G1543</f>
        <v>419627</v>
      </c>
      <c r="H1542" s="35">
        <f t="shared" si="699"/>
        <v>419627</v>
      </c>
      <c r="I1542" s="35">
        <f t="shared" si="699"/>
        <v>0</v>
      </c>
      <c r="J1542" s="35">
        <f t="shared" si="699"/>
        <v>0</v>
      </c>
      <c r="K1542" s="35">
        <f t="shared" si="699"/>
        <v>0</v>
      </c>
      <c r="L1542" s="35">
        <f t="shared" si="683"/>
        <v>0</v>
      </c>
      <c r="M1542" s="35">
        <v>0</v>
      </c>
    </row>
    <row r="1543" spans="1:13">
      <c r="A1543" s="59" t="s">
        <v>369</v>
      </c>
      <c r="B1543" s="28" t="s">
        <v>595</v>
      </c>
      <c r="C1543" s="28" t="s">
        <v>17</v>
      </c>
      <c r="D1543" s="28" t="s">
        <v>387</v>
      </c>
      <c r="E1543" s="28" t="s">
        <v>621</v>
      </c>
      <c r="F1543" s="28" t="s">
        <v>370</v>
      </c>
      <c r="G1543" s="35">
        <v>419627</v>
      </c>
      <c r="H1543" s="35">
        <v>419627</v>
      </c>
      <c r="I1543" s="35">
        <v>0</v>
      </c>
      <c r="J1543" s="35">
        <v>0</v>
      </c>
      <c r="K1543" s="35">
        <v>0</v>
      </c>
      <c r="L1543" s="35">
        <f t="shared" si="683"/>
        <v>0</v>
      </c>
      <c r="M1543" s="35">
        <v>0</v>
      </c>
    </row>
    <row r="1544" spans="1:13" s="92" customFormat="1" ht="67.5" customHeight="1">
      <c r="A1544" s="59" t="s">
        <v>1268</v>
      </c>
      <c r="B1544" s="28" t="s">
        <v>595</v>
      </c>
      <c r="C1544" s="28" t="s">
        <v>17</v>
      </c>
      <c r="D1544" s="28" t="s">
        <v>387</v>
      </c>
      <c r="E1544" s="77" t="s">
        <v>1266</v>
      </c>
      <c r="F1544" s="28"/>
      <c r="G1544" s="35"/>
      <c r="H1544" s="35">
        <f>H1545</f>
        <v>1842.58617</v>
      </c>
      <c r="I1544" s="35">
        <f t="shared" ref="I1544:K1546" si="700">I1545</f>
        <v>0</v>
      </c>
      <c r="J1544" s="35">
        <f t="shared" si="700"/>
        <v>0</v>
      </c>
      <c r="K1544" s="35">
        <f t="shared" si="700"/>
        <v>0</v>
      </c>
      <c r="L1544" s="35">
        <f t="shared" si="683"/>
        <v>0</v>
      </c>
      <c r="M1544" s="35">
        <v>0</v>
      </c>
    </row>
    <row r="1545" spans="1:13" s="92" customFormat="1" ht="69" customHeight="1">
      <c r="A1545" s="59" t="s">
        <v>1268</v>
      </c>
      <c r="B1545" s="28" t="s">
        <v>595</v>
      </c>
      <c r="C1545" s="28" t="s">
        <v>17</v>
      </c>
      <c r="D1545" s="28" t="s">
        <v>387</v>
      </c>
      <c r="E1545" s="77" t="s">
        <v>1267</v>
      </c>
      <c r="F1545" s="28"/>
      <c r="G1545" s="35"/>
      <c r="H1545" s="35">
        <f>H1546</f>
        <v>1842.58617</v>
      </c>
      <c r="I1545" s="35">
        <f t="shared" si="700"/>
        <v>0</v>
      </c>
      <c r="J1545" s="35">
        <f t="shared" si="700"/>
        <v>0</v>
      </c>
      <c r="K1545" s="35">
        <f t="shared" si="700"/>
        <v>0</v>
      </c>
      <c r="L1545" s="35">
        <f t="shared" si="683"/>
        <v>0</v>
      </c>
      <c r="M1545" s="35">
        <v>0</v>
      </c>
    </row>
    <row r="1546" spans="1:13" s="92" customFormat="1">
      <c r="A1546" s="59" t="s">
        <v>72</v>
      </c>
      <c r="B1546" s="28" t="s">
        <v>595</v>
      </c>
      <c r="C1546" s="28" t="s">
        <v>17</v>
      </c>
      <c r="D1546" s="28" t="s">
        <v>387</v>
      </c>
      <c r="E1546" s="77" t="s">
        <v>1267</v>
      </c>
      <c r="F1546" s="28">
        <v>800</v>
      </c>
      <c r="G1546" s="35"/>
      <c r="H1546" s="35">
        <f>H1547</f>
        <v>1842.58617</v>
      </c>
      <c r="I1546" s="35">
        <f t="shared" si="700"/>
        <v>0</v>
      </c>
      <c r="J1546" s="35">
        <f t="shared" si="700"/>
        <v>0</v>
      </c>
      <c r="K1546" s="35">
        <f t="shared" si="700"/>
        <v>0</v>
      </c>
      <c r="L1546" s="35">
        <f t="shared" si="683"/>
        <v>0</v>
      </c>
      <c r="M1546" s="35">
        <v>0</v>
      </c>
    </row>
    <row r="1547" spans="1:13" s="92" customFormat="1">
      <c r="A1547" s="59" t="s">
        <v>615</v>
      </c>
      <c r="B1547" s="28" t="s">
        <v>595</v>
      </c>
      <c r="C1547" s="28" t="s">
        <v>17</v>
      </c>
      <c r="D1547" s="28" t="s">
        <v>387</v>
      </c>
      <c r="E1547" s="77" t="s">
        <v>1267</v>
      </c>
      <c r="F1547" s="28">
        <v>880</v>
      </c>
      <c r="G1547" s="35"/>
      <c r="H1547" s="35">
        <v>1842.58617</v>
      </c>
      <c r="I1547" s="35">
        <v>0</v>
      </c>
      <c r="J1547" s="35">
        <v>0</v>
      </c>
      <c r="K1547" s="35">
        <v>0</v>
      </c>
      <c r="L1547" s="35">
        <f t="shared" si="683"/>
        <v>0</v>
      </c>
      <c r="M1547" s="35">
        <v>0</v>
      </c>
    </row>
    <row r="1548" spans="1:13">
      <c r="A1548" s="60" t="s">
        <v>0</v>
      </c>
      <c r="B1548" s="58" t="s">
        <v>0</v>
      </c>
      <c r="C1548" s="58" t="s">
        <v>0</v>
      </c>
      <c r="D1548" s="58" t="s">
        <v>0</v>
      </c>
      <c r="E1548" s="58" t="s">
        <v>0</v>
      </c>
      <c r="F1548" s="58" t="s">
        <v>0</v>
      </c>
      <c r="G1548" s="61" t="s">
        <v>0</v>
      </c>
      <c r="H1548" s="61" t="s">
        <v>0</v>
      </c>
      <c r="I1548" s="61" t="s">
        <v>0</v>
      </c>
      <c r="J1548" s="61" t="s">
        <v>0</v>
      </c>
      <c r="K1548" s="61" t="s">
        <v>0</v>
      </c>
      <c r="L1548" s="35"/>
      <c r="M1548" s="35"/>
    </row>
    <row r="1549" spans="1:13">
      <c r="A1549" s="59" t="s">
        <v>622</v>
      </c>
      <c r="B1549" s="28" t="s">
        <v>595</v>
      </c>
      <c r="C1549" s="28" t="s">
        <v>106</v>
      </c>
      <c r="D1549" s="58" t="s">
        <v>0</v>
      </c>
      <c r="E1549" s="58" t="s">
        <v>0</v>
      </c>
      <c r="F1549" s="58" t="s">
        <v>0</v>
      </c>
      <c r="G1549" s="35">
        <f t="shared" ref="G1549:G1554" si="701">G1550</f>
        <v>31272.5</v>
      </c>
      <c r="H1549" s="35">
        <f t="shared" ref="H1549:K1554" si="702">H1550</f>
        <v>31272.5</v>
      </c>
      <c r="I1549" s="35">
        <f t="shared" si="702"/>
        <v>26581.599999999999</v>
      </c>
      <c r="J1549" s="35">
        <f t="shared" si="702"/>
        <v>26581.599999999999</v>
      </c>
      <c r="K1549" s="35">
        <f t="shared" si="702"/>
        <v>24100.8135</v>
      </c>
      <c r="L1549" s="35">
        <f t="shared" si="683"/>
        <v>77.067114877288361</v>
      </c>
      <c r="M1549" s="35">
        <f t="shared" si="684"/>
        <v>90.667279245794091</v>
      </c>
    </row>
    <row r="1550" spans="1:13">
      <c r="A1550" s="59" t="s">
        <v>623</v>
      </c>
      <c r="B1550" s="28" t="s">
        <v>595</v>
      </c>
      <c r="C1550" s="28" t="s">
        <v>106</v>
      </c>
      <c r="D1550" s="28" t="s">
        <v>150</v>
      </c>
      <c r="E1550" s="58" t="s">
        <v>0</v>
      </c>
      <c r="F1550" s="58" t="s">
        <v>0</v>
      </c>
      <c r="G1550" s="35">
        <f t="shared" si="701"/>
        <v>31272.5</v>
      </c>
      <c r="H1550" s="35">
        <f t="shared" si="702"/>
        <v>31272.5</v>
      </c>
      <c r="I1550" s="35">
        <f t="shared" si="702"/>
        <v>26581.599999999999</v>
      </c>
      <c r="J1550" s="35">
        <f t="shared" si="702"/>
        <v>26581.599999999999</v>
      </c>
      <c r="K1550" s="35">
        <f t="shared" si="702"/>
        <v>24100.8135</v>
      </c>
      <c r="L1550" s="35">
        <f t="shared" si="683"/>
        <v>77.067114877288361</v>
      </c>
      <c r="M1550" s="35">
        <f t="shared" si="684"/>
        <v>90.667279245794091</v>
      </c>
    </row>
    <row r="1551" spans="1:13" ht="51">
      <c r="A1551" s="59" t="s">
        <v>596</v>
      </c>
      <c r="B1551" s="28" t="s">
        <v>595</v>
      </c>
      <c r="C1551" s="28" t="s">
        <v>106</v>
      </c>
      <c r="D1551" s="28" t="s">
        <v>150</v>
      </c>
      <c r="E1551" s="28" t="s">
        <v>597</v>
      </c>
      <c r="F1551" s="58" t="s">
        <v>0</v>
      </c>
      <c r="G1551" s="35">
        <f t="shared" si="701"/>
        <v>31272.5</v>
      </c>
      <c r="H1551" s="35">
        <f t="shared" si="702"/>
        <v>31272.5</v>
      </c>
      <c r="I1551" s="35">
        <f t="shared" si="702"/>
        <v>26581.599999999999</v>
      </c>
      <c r="J1551" s="35">
        <f t="shared" si="702"/>
        <v>26581.599999999999</v>
      </c>
      <c r="K1551" s="35">
        <f t="shared" si="702"/>
        <v>24100.8135</v>
      </c>
      <c r="L1551" s="35">
        <f t="shared" si="683"/>
        <v>77.067114877288361</v>
      </c>
      <c r="M1551" s="35">
        <f t="shared" si="684"/>
        <v>90.667279245794091</v>
      </c>
    </row>
    <row r="1552" spans="1:13" ht="51">
      <c r="A1552" s="59" t="s">
        <v>598</v>
      </c>
      <c r="B1552" s="28" t="s">
        <v>595</v>
      </c>
      <c r="C1552" s="28" t="s">
        <v>106</v>
      </c>
      <c r="D1552" s="28" t="s">
        <v>150</v>
      </c>
      <c r="E1552" s="28" t="s">
        <v>599</v>
      </c>
      <c r="F1552" s="58" t="s">
        <v>0</v>
      </c>
      <c r="G1552" s="35">
        <f t="shared" si="701"/>
        <v>31272.5</v>
      </c>
      <c r="H1552" s="35">
        <f t="shared" si="702"/>
        <v>31272.5</v>
      </c>
      <c r="I1552" s="35">
        <f t="shared" si="702"/>
        <v>26581.599999999999</v>
      </c>
      <c r="J1552" s="35">
        <f t="shared" si="702"/>
        <v>26581.599999999999</v>
      </c>
      <c r="K1552" s="35">
        <f t="shared" si="702"/>
        <v>24100.8135</v>
      </c>
      <c r="L1552" s="35">
        <f t="shared" si="683"/>
        <v>77.067114877288361</v>
      </c>
      <c r="M1552" s="35">
        <f t="shared" si="684"/>
        <v>90.667279245794091</v>
      </c>
    </row>
    <row r="1553" spans="1:13" ht="25.5">
      <c r="A1553" s="59" t="s">
        <v>624</v>
      </c>
      <c r="B1553" s="28" t="s">
        <v>595</v>
      </c>
      <c r="C1553" s="28" t="s">
        <v>106</v>
      </c>
      <c r="D1553" s="28" t="s">
        <v>150</v>
      </c>
      <c r="E1553" s="28" t="s">
        <v>625</v>
      </c>
      <c r="F1553" s="58" t="s">
        <v>0</v>
      </c>
      <c r="G1553" s="35">
        <f t="shared" si="701"/>
        <v>31272.5</v>
      </c>
      <c r="H1553" s="35">
        <f t="shared" si="702"/>
        <v>31272.5</v>
      </c>
      <c r="I1553" s="35">
        <f t="shared" si="702"/>
        <v>26581.599999999999</v>
      </c>
      <c r="J1553" s="35">
        <f t="shared" si="702"/>
        <v>26581.599999999999</v>
      </c>
      <c r="K1553" s="35">
        <f t="shared" si="702"/>
        <v>24100.8135</v>
      </c>
      <c r="L1553" s="35">
        <f t="shared" si="683"/>
        <v>77.067114877288361</v>
      </c>
      <c r="M1553" s="35">
        <f t="shared" si="684"/>
        <v>90.667279245794091</v>
      </c>
    </row>
    <row r="1554" spans="1:13">
      <c r="A1554" s="59" t="s">
        <v>26</v>
      </c>
      <c r="B1554" s="28" t="s">
        <v>595</v>
      </c>
      <c r="C1554" s="28" t="s">
        <v>106</v>
      </c>
      <c r="D1554" s="28" t="s">
        <v>150</v>
      </c>
      <c r="E1554" s="28" t="s">
        <v>625</v>
      </c>
      <c r="F1554" s="28" t="s">
        <v>27</v>
      </c>
      <c r="G1554" s="35">
        <f t="shared" si="701"/>
        <v>31272.5</v>
      </c>
      <c r="H1554" s="35">
        <f t="shared" si="702"/>
        <v>31272.5</v>
      </c>
      <c r="I1554" s="35">
        <f t="shared" si="702"/>
        <v>26581.599999999999</v>
      </c>
      <c r="J1554" s="35">
        <f t="shared" si="702"/>
        <v>26581.599999999999</v>
      </c>
      <c r="K1554" s="35">
        <f t="shared" si="702"/>
        <v>24100.8135</v>
      </c>
      <c r="L1554" s="35">
        <f t="shared" si="683"/>
        <v>77.067114877288361</v>
      </c>
      <c r="M1554" s="35">
        <f t="shared" si="684"/>
        <v>90.667279245794091</v>
      </c>
    </row>
    <row r="1555" spans="1:13">
      <c r="A1555" s="59" t="s">
        <v>28</v>
      </c>
      <c r="B1555" s="28" t="s">
        <v>595</v>
      </c>
      <c r="C1555" s="28" t="s">
        <v>106</v>
      </c>
      <c r="D1555" s="28" t="s">
        <v>150</v>
      </c>
      <c r="E1555" s="28" t="s">
        <v>625</v>
      </c>
      <c r="F1555" s="28" t="s">
        <v>29</v>
      </c>
      <c r="G1555" s="35">
        <v>31272.5</v>
      </c>
      <c r="H1555" s="35">
        <v>31272.5</v>
      </c>
      <c r="I1555" s="35">
        <v>26581.599999999999</v>
      </c>
      <c r="J1555" s="35">
        <v>26581.599999999999</v>
      </c>
      <c r="K1555" s="35">
        <v>24100.8135</v>
      </c>
      <c r="L1555" s="35">
        <f t="shared" si="683"/>
        <v>77.067114877288361</v>
      </c>
      <c r="M1555" s="35">
        <f t="shared" si="684"/>
        <v>90.667279245794091</v>
      </c>
    </row>
    <row r="1556" spans="1:13">
      <c r="A1556" s="60" t="s">
        <v>0</v>
      </c>
      <c r="B1556" s="58" t="s">
        <v>0</v>
      </c>
      <c r="C1556" s="58" t="s">
        <v>0</v>
      </c>
      <c r="D1556" s="58" t="s">
        <v>0</v>
      </c>
      <c r="E1556" s="58" t="s">
        <v>0</v>
      </c>
      <c r="F1556" s="58" t="s">
        <v>0</v>
      </c>
      <c r="G1556" s="61" t="s">
        <v>0</v>
      </c>
      <c r="H1556" s="61" t="s">
        <v>0</v>
      </c>
      <c r="I1556" s="61" t="s">
        <v>0</v>
      </c>
      <c r="J1556" s="61" t="s">
        <v>0</v>
      </c>
      <c r="K1556" s="61" t="s">
        <v>0</v>
      </c>
      <c r="L1556" s="35"/>
      <c r="M1556" s="35"/>
    </row>
    <row r="1557" spans="1:13" ht="25.5">
      <c r="A1557" s="59" t="s">
        <v>626</v>
      </c>
      <c r="B1557" s="28" t="s">
        <v>595</v>
      </c>
      <c r="C1557" s="28" t="s">
        <v>387</v>
      </c>
      <c r="D1557" s="58" t="s">
        <v>0</v>
      </c>
      <c r="E1557" s="58" t="s">
        <v>0</v>
      </c>
      <c r="F1557" s="58" t="s">
        <v>0</v>
      </c>
      <c r="G1557" s="35">
        <f t="shared" ref="G1557:G1562" si="703">G1558</f>
        <v>1332183.1000000001</v>
      </c>
      <c r="H1557" s="35">
        <f t="shared" ref="H1557:K1562" si="704">H1558</f>
        <v>1332183.1000000001</v>
      </c>
      <c r="I1557" s="35">
        <f t="shared" si="704"/>
        <v>801276.99720999994</v>
      </c>
      <c r="J1557" s="35">
        <f t="shared" si="704"/>
        <v>801276.99720999994</v>
      </c>
      <c r="K1557" s="35">
        <f t="shared" si="704"/>
        <v>801276.99720999994</v>
      </c>
      <c r="L1557" s="35">
        <f t="shared" si="683"/>
        <v>60.147662675648704</v>
      </c>
      <c r="M1557" s="35">
        <f t="shared" si="684"/>
        <v>100</v>
      </c>
    </row>
    <row r="1558" spans="1:13" ht="25.5">
      <c r="A1558" s="59" t="s">
        <v>627</v>
      </c>
      <c r="B1558" s="28" t="s">
        <v>595</v>
      </c>
      <c r="C1558" s="28" t="s">
        <v>387</v>
      </c>
      <c r="D1558" s="28" t="s">
        <v>17</v>
      </c>
      <c r="E1558" s="58" t="s">
        <v>0</v>
      </c>
      <c r="F1558" s="58" t="s">
        <v>0</v>
      </c>
      <c r="G1558" s="35">
        <f t="shared" si="703"/>
        <v>1332183.1000000001</v>
      </c>
      <c r="H1558" s="35">
        <f t="shared" si="704"/>
        <v>1332183.1000000001</v>
      </c>
      <c r="I1558" s="35">
        <f t="shared" si="704"/>
        <v>801276.99720999994</v>
      </c>
      <c r="J1558" s="35">
        <f t="shared" si="704"/>
        <v>801276.99720999994</v>
      </c>
      <c r="K1558" s="35">
        <f t="shared" si="704"/>
        <v>801276.99720999994</v>
      </c>
      <c r="L1558" s="35">
        <f t="shared" si="683"/>
        <v>60.147662675648704</v>
      </c>
      <c r="M1558" s="35">
        <f t="shared" si="684"/>
        <v>100</v>
      </c>
    </row>
    <row r="1559" spans="1:13" ht="51">
      <c r="A1559" s="59" t="s">
        <v>596</v>
      </c>
      <c r="B1559" s="28" t="s">
        <v>595</v>
      </c>
      <c r="C1559" s="28" t="s">
        <v>387</v>
      </c>
      <c r="D1559" s="28" t="s">
        <v>17</v>
      </c>
      <c r="E1559" s="28" t="s">
        <v>597</v>
      </c>
      <c r="F1559" s="58" t="s">
        <v>0</v>
      </c>
      <c r="G1559" s="35">
        <f t="shared" si="703"/>
        <v>1332183.1000000001</v>
      </c>
      <c r="H1559" s="35">
        <f t="shared" si="704"/>
        <v>1332183.1000000001</v>
      </c>
      <c r="I1559" s="35">
        <f t="shared" si="704"/>
        <v>801276.99720999994</v>
      </c>
      <c r="J1559" s="35">
        <f t="shared" si="704"/>
        <v>801276.99720999994</v>
      </c>
      <c r="K1559" s="35">
        <f t="shared" si="704"/>
        <v>801276.99720999994</v>
      </c>
      <c r="L1559" s="35">
        <f t="shared" si="683"/>
        <v>60.147662675648704</v>
      </c>
      <c r="M1559" s="35">
        <f t="shared" si="684"/>
        <v>100</v>
      </c>
    </row>
    <row r="1560" spans="1:13" ht="25.5">
      <c r="A1560" s="59" t="s">
        <v>628</v>
      </c>
      <c r="B1560" s="28" t="s">
        <v>595</v>
      </c>
      <c r="C1560" s="28" t="s">
        <v>387</v>
      </c>
      <c r="D1560" s="28" t="s">
        <v>17</v>
      </c>
      <c r="E1560" s="28" t="s">
        <v>629</v>
      </c>
      <c r="F1560" s="58" t="s">
        <v>0</v>
      </c>
      <c r="G1560" s="35">
        <f t="shared" si="703"/>
        <v>1332183.1000000001</v>
      </c>
      <c r="H1560" s="35">
        <f t="shared" si="704"/>
        <v>1332183.1000000001</v>
      </c>
      <c r="I1560" s="35">
        <f t="shared" si="704"/>
        <v>801276.99720999994</v>
      </c>
      <c r="J1560" s="35">
        <f t="shared" si="704"/>
        <v>801276.99720999994</v>
      </c>
      <c r="K1560" s="35">
        <f t="shared" si="704"/>
        <v>801276.99720999994</v>
      </c>
      <c r="L1560" s="35">
        <f t="shared" si="683"/>
        <v>60.147662675648704</v>
      </c>
      <c r="M1560" s="35">
        <f t="shared" si="684"/>
        <v>100</v>
      </c>
    </row>
    <row r="1561" spans="1:13">
      <c r="A1561" s="59" t="s">
        <v>630</v>
      </c>
      <c r="B1561" s="28" t="s">
        <v>595</v>
      </c>
      <c r="C1561" s="28" t="s">
        <v>387</v>
      </c>
      <c r="D1561" s="28" t="s">
        <v>17</v>
      </c>
      <c r="E1561" s="28" t="s">
        <v>631</v>
      </c>
      <c r="F1561" s="58" t="s">
        <v>0</v>
      </c>
      <c r="G1561" s="35">
        <f t="shared" si="703"/>
        <v>1332183.1000000001</v>
      </c>
      <c r="H1561" s="35">
        <f t="shared" si="704"/>
        <v>1332183.1000000001</v>
      </c>
      <c r="I1561" s="35">
        <f t="shared" si="704"/>
        <v>801276.99720999994</v>
      </c>
      <c r="J1561" s="35">
        <f t="shared" si="704"/>
        <v>801276.99720999994</v>
      </c>
      <c r="K1561" s="35">
        <f t="shared" si="704"/>
        <v>801276.99720999994</v>
      </c>
      <c r="L1561" s="35">
        <f t="shared" si="683"/>
        <v>60.147662675648704</v>
      </c>
      <c r="M1561" s="35">
        <f t="shared" si="684"/>
        <v>100</v>
      </c>
    </row>
    <row r="1562" spans="1:13" ht="25.5">
      <c r="A1562" s="59" t="s">
        <v>632</v>
      </c>
      <c r="B1562" s="28" t="s">
        <v>595</v>
      </c>
      <c r="C1562" s="28" t="s">
        <v>387</v>
      </c>
      <c r="D1562" s="28" t="s">
        <v>17</v>
      </c>
      <c r="E1562" s="28" t="s">
        <v>631</v>
      </c>
      <c r="F1562" s="28" t="s">
        <v>633</v>
      </c>
      <c r="G1562" s="35">
        <f t="shared" si="703"/>
        <v>1332183.1000000001</v>
      </c>
      <c r="H1562" s="35">
        <f t="shared" si="704"/>
        <v>1332183.1000000001</v>
      </c>
      <c r="I1562" s="35">
        <f t="shared" si="704"/>
        <v>801276.99720999994</v>
      </c>
      <c r="J1562" s="35">
        <f t="shared" si="704"/>
        <v>801276.99720999994</v>
      </c>
      <c r="K1562" s="35">
        <f t="shared" si="704"/>
        <v>801276.99720999994</v>
      </c>
      <c r="L1562" s="35">
        <f t="shared" si="683"/>
        <v>60.147662675648704</v>
      </c>
      <c r="M1562" s="35">
        <f t="shared" si="684"/>
        <v>100</v>
      </c>
    </row>
    <row r="1563" spans="1:13" ht="25.5">
      <c r="A1563" s="59" t="s">
        <v>634</v>
      </c>
      <c r="B1563" s="28" t="s">
        <v>595</v>
      </c>
      <c r="C1563" s="28" t="s">
        <v>387</v>
      </c>
      <c r="D1563" s="28" t="s">
        <v>17</v>
      </c>
      <c r="E1563" s="28" t="s">
        <v>631</v>
      </c>
      <c r="F1563" s="28" t="s">
        <v>635</v>
      </c>
      <c r="G1563" s="35">
        <v>1332183.1000000001</v>
      </c>
      <c r="H1563" s="35">
        <v>1332183.1000000001</v>
      </c>
      <c r="I1563" s="35">
        <v>801276.99720999994</v>
      </c>
      <c r="J1563" s="35">
        <v>801276.99720999994</v>
      </c>
      <c r="K1563" s="35">
        <v>801276.99720999994</v>
      </c>
      <c r="L1563" s="35">
        <f t="shared" si="683"/>
        <v>60.147662675648704</v>
      </c>
      <c r="M1563" s="35">
        <f t="shared" si="684"/>
        <v>100</v>
      </c>
    </row>
    <row r="1564" spans="1:13" ht="89.25">
      <c r="A1564" s="78" t="s">
        <v>636</v>
      </c>
      <c r="B1564" s="60" t="s">
        <v>0</v>
      </c>
      <c r="C1564" s="60" t="s">
        <v>0</v>
      </c>
      <c r="D1564" s="60" t="s">
        <v>0</v>
      </c>
      <c r="E1564" s="60" t="s">
        <v>0</v>
      </c>
      <c r="F1564" s="60" t="s">
        <v>0</v>
      </c>
      <c r="G1564" s="35">
        <v>711.1</v>
      </c>
      <c r="H1564" s="35">
        <v>711.1</v>
      </c>
      <c r="I1564" s="35">
        <v>0</v>
      </c>
      <c r="J1564" s="35">
        <v>0</v>
      </c>
      <c r="K1564" s="35">
        <v>0</v>
      </c>
      <c r="L1564" s="35">
        <f t="shared" si="683"/>
        <v>0</v>
      </c>
      <c r="M1564" s="35">
        <v>0</v>
      </c>
    </row>
    <row r="1565" spans="1:13" ht="114.75">
      <c r="A1565" s="78" t="s">
        <v>637</v>
      </c>
      <c r="B1565" s="60" t="s">
        <v>0</v>
      </c>
      <c r="C1565" s="60" t="s">
        <v>0</v>
      </c>
      <c r="D1565" s="60" t="s">
        <v>0</v>
      </c>
      <c r="E1565" s="60" t="s">
        <v>0</v>
      </c>
      <c r="F1565" s="60" t="s">
        <v>0</v>
      </c>
      <c r="G1565" s="35">
        <v>2012</v>
      </c>
      <c r="H1565" s="35">
        <v>2012</v>
      </c>
      <c r="I1565" s="35">
        <v>0</v>
      </c>
      <c r="J1565" s="35">
        <v>0</v>
      </c>
      <c r="K1565" s="35">
        <v>0</v>
      </c>
      <c r="L1565" s="35">
        <f t="shared" si="683"/>
        <v>0</v>
      </c>
      <c r="M1565" s="35">
        <v>0</v>
      </c>
    </row>
    <row r="1566" spans="1:13" ht="114.75">
      <c r="A1566" s="78" t="s">
        <v>638</v>
      </c>
      <c r="B1566" s="60" t="s">
        <v>0</v>
      </c>
      <c r="C1566" s="60" t="s">
        <v>0</v>
      </c>
      <c r="D1566" s="60" t="s">
        <v>0</v>
      </c>
      <c r="E1566" s="60" t="s">
        <v>0</v>
      </c>
      <c r="F1566" s="60" t="s">
        <v>0</v>
      </c>
      <c r="G1566" s="35">
        <v>453.3</v>
      </c>
      <c r="H1566" s="35">
        <v>453.3</v>
      </c>
      <c r="I1566" s="35">
        <v>0</v>
      </c>
      <c r="J1566" s="35">
        <v>0</v>
      </c>
      <c r="K1566" s="35">
        <v>0</v>
      </c>
      <c r="L1566" s="35">
        <f t="shared" si="683"/>
        <v>0</v>
      </c>
      <c r="M1566" s="35">
        <v>0</v>
      </c>
    </row>
    <row r="1567" spans="1:13" ht="114.75">
      <c r="A1567" s="78" t="s">
        <v>639</v>
      </c>
      <c r="B1567" s="60" t="s">
        <v>0</v>
      </c>
      <c r="C1567" s="60" t="s">
        <v>0</v>
      </c>
      <c r="D1567" s="60" t="s">
        <v>0</v>
      </c>
      <c r="E1567" s="60" t="s">
        <v>0</v>
      </c>
      <c r="F1567" s="60" t="s">
        <v>0</v>
      </c>
      <c r="G1567" s="35">
        <v>100.7</v>
      </c>
      <c r="H1567" s="35">
        <v>100.7</v>
      </c>
      <c r="I1567" s="35">
        <v>0</v>
      </c>
      <c r="J1567" s="35">
        <v>0</v>
      </c>
      <c r="K1567" s="35">
        <v>0</v>
      </c>
      <c r="L1567" s="35">
        <f t="shared" si="683"/>
        <v>0</v>
      </c>
      <c r="M1567" s="35">
        <v>0</v>
      </c>
    </row>
    <row r="1568" spans="1:13">
      <c r="A1568" s="60" t="s">
        <v>0</v>
      </c>
      <c r="B1568" s="58" t="s">
        <v>0</v>
      </c>
      <c r="C1568" s="58" t="s">
        <v>0</v>
      </c>
      <c r="D1568" s="58" t="s">
        <v>0</v>
      </c>
      <c r="E1568" s="58" t="s">
        <v>0</v>
      </c>
      <c r="F1568" s="58" t="s">
        <v>0</v>
      </c>
      <c r="G1568" s="61" t="s">
        <v>0</v>
      </c>
      <c r="H1568" s="61" t="s">
        <v>0</v>
      </c>
      <c r="I1568" s="61" t="s">
        <v>0</v>
      </c>
      <c r="J1568" s="61" t="s">
        <v>0</v>
      </c>
      <c r="K1568" s="61" t="s">
        <v>0</v>
      </c>
      <c r="L1568" s="35"/>
      <c r="M1568" s="35"/>
    </row>
    <row r="1569" spans="1:13" ht="25.5">
      <c r="A1569" s="59" t="s">
        <v>640</v>
      </c>
      <c r="B1569" s="28" t="s">
        <v>595</v>
      </c>
      <c r="C1569" s="28" t="s">
        <v>641</v>
      </c>
      <c r="D1569" s="58" t="s">
        <v>0</v>
      </c>
      <c r="E1569" s="58" t="s">
        <v>0</v>
      </c>
      <c r="F1569" s="58" t="s">
        <v>0</v>
      </c>
      <c r="G1569" s="35">
        <f>G1570+G1579+G1588</f>
        <v>3480694.5</v>
      </c>
      <c r="H1569" s="35">
        <f t="shared" ref="H1569:K1569" si="705">H1570+H1579+H1588</f>
        <v>3482440.3</v>
      </c>
      <c r="I1569" s="35">
        <f t="shared" si="705"/>
        <v>2544646.8710000003</v>
      </c>
      <c r="J1569" s="35">
        <f t="shared" si="705"/>
        <v>2543855.017</v>
      </c>
      <c r="K1569" s="35">
        <f t="shared" si="705"/>
        <v>2543855.017</v>
      </c>
      <c r="L1569" s="35">
        <f t="shared" si="683"/>
        <v>73.048058196431981</v>
      </c>
      <c r="M1569" s="35">
        <f t="shared" si="684"/>
        <v>99.968881576102973</v>
      </c>
    </row>
    <row r="1570" spans="1:13" ht="38.25">
      <c r="A1570" s="59" t="s">
        <v>642</v>
      </c>
      <c r="B1570" s="28" t="s">
        <v>595</v>
      </c>
      <c r="C1570" s="28" t="s">
        <v>641</v>
      </c>
      <c r="D1570" s="28" t="s">
        <v>17</v>
      </c>
      <c r="E1570" s="58" t="s">
        <v>0</v>
      </c>
      <c r="F1570" s="58" t="s">
        <v>0</v>
      </c>
      <c r="G1570" s="35">
        <f>G1571</f>
        <v>1220429</v>
      </c>
      <c r="H1570" s="35">
        <f t="shared" ref="H1570:K1571" si="706">H1571</f>
        <v>1220429</v>
      </c>
      <c r="I1570" s="35">
        <f t="shared" si="706"/>
        <v>946453</v>
      </c>
      <c r="J1570" s="35">
        <f t="shared" si="706"/>
        <v>946453</v>
      </c>
      <c r="K1570" s="35">
        <f t="shared" si="706"/>
        <v>946453</v>
      </c>
      <c r="L1570" s="35">
        <f t="shared" si="683"/>
        <v>77.550844825876794</v>
      </c>
      <c r="M1570" s="35">
        <f t="shared" si="684"/>
        <v>100</v>
      </c>
    </row>
    <row r="1571" spans="1:13" ht="51">
      <c r="A1571" s="59" t="s">
        <v>596</v>
      </c>
      <c r="B1571" s="28" t="s">
        <v>595</v>
      </c>
      <c r="C1571" s="28" t="s">
        <v>641</v>
      </c>
      <c r="D1571" s="28" t="s">
        <v>17</v>
      </c>
      <c r="E1571" s="28" t="s">
        <v>597</v>
      </c>
      <c r="F1571" s="58" t="s">
        <v>0</v>
      </c>
      <c r="G1571" s="35">
        <f>G1572</f>
        <v>1220429</v>
      </c>
      <c r="H1571" s="35">
        <f t="shared" si="706"/>
        <v>1220429</v>
      </c>
      <c r="I1571" s="35">
        <f t="shared" si="706"/>
        <v>946453</v>
      </c>
      <c r="J1571" s="35">
        <f t="shared" si="706"/>
        <v>946453</v>
      </c>
      <c r="K1571" s="35">
        <f t="shared" si="706"/>
        <v>946453</v>
      </c>
      <c r="L1571" s="35">
        <f t="shared" ref="L1571:L1634" si="707">K1571/H1571*100</f>
        <v>77.550844825876794</v>
      </c>
      <c r="M1571" s="35">
        <f t="shared" ref="M1571:M1634" si="708">K1571/I1571*100</f>
        <v>100</v>
      </c>
    </row>
    <row r="1572" spans="1:13" ht="38.25">
      <c r="A1572" s="59" t="s">
        <v>643</v>
      </c>
      <c r="B1572" s="28" t="s">
        <v>595</v>
      </c>
      <c r="C1572" s="28" t="s">
        <v>641</v>
      </c>
      <c r="D1572" s="28" t="s">
        <v>17</v>
      </c>
      <c r="E1572" s="28" t="s">
        <v>644</v>
      </c>
      <c r="F1572" s="58" t="s">
        <v>0</v>
      </c>
      <c r="G1572" s="35">
        <f>G1573+G1576</f>
        <v>1220429</v>
      </c>
      <c r="H1572" s="35">
        <f t="shared" ref="H1572:K1572" si="709">H1573+H1576</f>
        <v>1220429</v>
      </c>
      <c r="I1572" s="35">
        <f t="shared" si="709"/>
        <v>946453</v>
      </c>
      <c r="J1572" s="35">
        <f t="shared" si="709"/>
        <v>946453</v>
      </c>
      <c r="K1572" s="35">
        <f t="shared" si="709"/>
        <v>946453</v>
      </c>
      <c r="L1572" s="35">
        <f t="shared" si="707"/>
        <v>77.550844825876794</v>
      </c>
      <c r="M1572" s="35">
        <f t="shared" si="708"/>
        <v>100</v>
      </c>
    </row>
    <row r="1573" spans="1:13">
      <c r="A1573" s="59" t="s">
        <v>645</v>
      </c>
      <c r="B1573" s="28" t="s">
        <v>595</v>
      </c>
      <c r="C1573" s="28" t="s">
        <v>641</v>
      </c>
      <c r="D1573" s="28" t="s">
        <v>17</v>
      </c>
      <c r="E1573" s="28" t="s">
        <v>646</v>
      </c>
      <c r="F1573" s="58" t="s">
        <v>0</v>
      </c>
      <c r="G1573" s="35">
        <f>G1574</f>
        <v>135022.1</v>
      </c>
      <c r="H1573" s="35">
        <f t="shared" ref="H1573:K1574" si="710">H1574</f>
        <v>135022.1</v>
      </c>
      <c r="I1573" s="35">
        <f t="shared" si="710"/>
        <v>101266.1</v>
      </c>
      <c r="J1573" s="35">
        <f t="shared" si="710"/>
        <v>101266.1</v>
      </c>
      <c r="K1573" s="35">
        <f t="shared" si="710"/>
        <v>101266.1</v>
      </c>
      <c r="L1573" s="35">
        <f t="shared" si="707"/>
        <v>74.999648205738168</v>
      </c>
      <c r="M1573" s="35">
        <f t="shared" si="708"/>
        <v>100</v>
      </c>
    </row>
    <row r="1574" spans="1:13">
      <c r="A1574" s="59" t="s">
        <v>26</v>
      </c>
      <c r="B1574" s="28" t="s">
        <v>595</v>
      </c>
      <c r="C1574" s="28" t="s">
        <v>641</v>
      </c>
      <c r="D1574" s="28" t="s">
        <v>17</v>
      </c>
      <c r="E1574" s="28" t="s">
        <v>646</v>
      </c>
      <c r="F1574" s="28" t="s">
        <v>27</v>
      </c>
      <c r="G1574" s="35">
        <f>G1575</f>
        <v>135022.1</v>
      </c>
      <c r="H1574" s="35">
        <f t="shared" si="710"/>
        <v>135022.1</v>
      </c>
      <c r="I1574" s="35">
        <f t="shared" si="710"/>
        <v>101266.1</v>
      </c>
      <c r="J1574" s="35">
        <f t="shared" si="710"/>
        <v>101266.1</v>
      </c>
      <c r="K1574" s="35">
        <f t="shared" si="710"/>
        <v>101266.1</v>
      </c>
      <c r="L1574" s="35">
        <f t="shared" si="707"/>
        <v>74.999648205738168</v>
      </c>
      <c r="M1574" s="35">
        <f t="shared" si="708"/>
        <v>100</v>
      </c>
    </row>
    <row r="1575" spans="1:13">
      <c r="A1575" s="59" t="s">
        <v>647</v>
      </c>
      <c r="B1575" s="28" t="s">
        <v>595</v>
      </c>
      <c r="C1575" s="28" t="s">
        <v>641</v>
      </c>
      <c r="D1575" s="28" t="s">
        <v>17</v>
      </c>
      <c r="E1575" s="28" t="s">
        <v>646</v>
      </c>
      <c r="F1575" s="28" t="s">
        <v>648</v>
      </c>
      <c r="G1575" s="35">
        <v>135022.1</v>
      </c>
      <c r="H1575" s="35">
        <v>135022.1</v>
      </c>
      <c r="I1575" s="35">
        <v>101266.1</v>
      </c>
      <c r="J1575" s="35">
        <v>101266.1</v>
      </c>
      <c r="K1575" s="35">
        <v>101266.1</v>
      </c>
      <c r="L1575" s="35">
        <f t="shared" si="707"/>
        <v>74.999648205738168</v>
      </c>
      <c r="M1575" s="35">
        <f t="shared" si="708"/>
        <v>100</v>
      </c>
    </row>
    <row r="1576" spans="1:13" ht="25.5">
      <c r="A1576" s="59" t="s">
        <v>649</v>
      </c>
      <c r="B1576" s="28" t="s">
        <v>595</v>
      </c>
      <c r="C1576" s="28" t="s">
        <v>641</v>
      </c>
      <c r="D1576" s="28" t="s">
        <v>17</v>
      </c>
      <c r="E1576" s="28" t="s">
        <v>650</v>
      </c>
      <c r="F1576" s="58" t="s">
        <v>0</v>
      </c>
      <c r="G1576" s="35">
        <f>G1577</f>
        <v>1085406.8999999999</v>
      </c>
      <c r="H1576" s="35">
        <f t="shared" ref="H1576:K1577" si="711">H1577</f>
        <v>1085406.8999999999</v>
      </c>
      <c r="I1576" s="35">
        <f t="shared" si="711"/>
        <v>845186.9</v>
      </c>
      <c r="J1576" s="35">
        <f t="shared" si="711"/>
        <v>845186.9</v>
      </c>
      <c r="K1576" s="35">
        <f t="shared" si="711"/>
        <v>845186.9</v>
      </c>
      <c r="L1576" s="35">
        <f t="shared" si="707"/>
        <v>77.868207766138227</v>
      </c>
      <c r="M1576" s="35">
        <f t="shared" si="708"/>
        <v>100</v>
      </c>
    </row>
    <row r="1577" spans="1:13">
      <c r="A1577" s="59" t="s">
        <v>26</v>
      </c>
      <c r="B1577" s="28" t="s">
        <v>595</v>
      </c>
      <c r="C1577" s="28" t="s">
        <v>641</v>
      </c>
      <c r="D1577" s="28" t="s">
        <v>17</v>
      </c>
      <c r="E1577" s="28" t="s">
        <v>650</v>
      </c>
      <c r="F1577" s="28" t="s">
        <v>27</v>
      </c>
      <c r="G1577" s="35">
        <f>G1578</f>
        <v>1085406.8999999999</v>
      </c>
      <c r="H1577" s="35">
        <f t="shared" si="711"/>
        <v>1085406.8999999999</v>
      </c>
      <c r="I1577" s="35">
        <f t="shared" si="711"/>
        <v>845186.9</v>
      </c>
      <c r="J1577" s="35">
        <f t="shared" si="711"/>
        <v>845186.9</v>
      </c>
      <c r="K1577" s="35">
        <f t="shared" si="711"/>
        <v>845186.9</v>
      </c>
      <c r="L1577" s="35">
        <f t="shared" si="707"/>
        <v>77.868207766138227</v>
      </c>
      <c r="M1577" s="35">
        <f t="shared" si="708"/>
        <v>100</v>
      </c>
    </row>
    <row r="1578" spans="1:13">
      <c r="A1578" s="59" t="s">
        <v>647</v>
      </c>
      <c r="B1578" s="28" t="s">
        <v>595</v>
      </c>
      <c r="C1578" s="28" t="s">
        <v>641</v>
      </c>
      <c r="D1578" s="28" t="s">
        <v>17</v>
      </c>
      <c r="E1578" s="28" t="s">
        <v>650</v>
      </c>
      <c r="F1578" s="28" t="s">
        <v>648</v>
      </c>
      <c r="G1578" s="35">
        <v>1085406.8999999999</v>
      </c>
      <c r="H1578" s="35">
        <v>1085406.8999999999</v>
      </c>
      <c r="I1578" s="35">
        <v>845186.9</v>
      </c>
      <c r="J1578" s="35">
        <v>845186.9</v>
      </c>
      <c r="K1578" s="35">
        <v>845186.9</v>
      </c>
      <c r="L1578" s="35">
        <f t="shared" si="707"/>
        <v>77.868207766138227</v>
      </c>
      <c r="M1578" s="35">
        <f t="shared" si="708"/>
        <v>100</v>
      </c>
    </row>
    <row r="1579" spans="1:13">
      <c r="A1579" s="59" t="s">
        <v>651</v>
      </c>
      <c r="B1579" s="28" t="s">
        <v>595</v>
      </c>
      <c r="C1579" s="28" t="s">
        <v>641</v>
      </c>
      <c r="D1579" s="28" t="s">
        <v>106</v>
      </c>
      <c r="E1579" s="58" t="s">
        <v>0</v>
      </c>
      <c r="F1579" s="58" t="s">
        <v>0</v>
      </c>
      <c r="G1579" s="35">
        <f>G1580</f>
        <v>267955.5</v>
      </c>
      <c r="H1579" s="35">
        <f t="shared" ref="H1579:K1579" si="712">H1580</f>
        <v>267955.5</v>
      </c>
      <c r="I1579" s="35">
        <f t="shared" si="712"/>
        <v>112657.7</v>
      </c>
      <c r="J1579" s="35">
        <f t="shared" si="712"/>
        <v>112657.7</v>
      </c>
      <c r="K1579" s="35">
        <f t="shared" si="712"/>
        <v>112657.7</v>
      </c>
      <c r="L1579" s="35">
        <f t="shared" si="707"/>
        <v>42.043436316851121</v>
      </c>
      <c r="M1579" s="35">
        <f t="shared" si="708"/>
        <v>100</v>
      </c>
    </row>
    <row r="1580" spans="1:13" ht="51">
      <c r="A1580" s="59" t="s">
        <v>596</v>
      </c>
      <c r="B1580" s="28" t="s">
        <v>595</v>
      </c>
      <c r="C1580" s="28" t="s">
        <v>641</v>
      </c>
      <c r="D1580" s="28" t="s">
        <v>106</v>
      </c>
      <c r="E1580" s="28" t="s">
        <v>597</v>
      </c>
      <c r="F1580" s="58" t="s">
        <v>0</v>
      </c>
      <c r="G1580" s="35">
        <f>G1581</f>
        <v>267955.5</v>
      </c>
      <c r="H1580" s="35">
        <f t="shared" ref="H1580:K1580" si="713">H1581</f>
        <v>267955.5</v>
      </c>
      <c r="I1580" s="35">
        <f t="shared" si="713"/>
        <v>112657.7</v>
      </c>
      <c r="J1580" s="35">
        <f t="shared" si="713"/>
        <v>112657.7</v>
      </c>
      <c r="K1580" s="35">
        <f t="shared" si="713"/>
        <v>112657.7</v>
      </c>
      <c r="L1580" s="35">
        <f t="shared" si="707"/>
        <v>42.043436316851121</v>
      </c>
      <c r="M1580" s="35">
        <f t="shared" si="708"/>
        <v>100</v>
      </c>
    </row>
    <row r="1581" spans="1:13" ht="38.25">
      <c r="A1581" s="59" t="s">
        <v>643</v>
      </c>
      <c r="B1581" s="28" t="s">
        <v>595</v>
      </c>
      <c r="C1581" s="28" t="s">
        <v>641</v>
      </c>
      <c r="D1581" s="28" t="s">
        <v>106</v>
      </c>
      <c r="E1581" s="28" t="s">
        <v>644</v>
      </c>
      <c r="F1581" s="58" t="s">
        <v>0</v>
      </c>
      <c r="G1581" s="35">
        <f>G1582+G1585</f>
        <v>267955.5</v>
      </c>
      <c r="H1581" s="35">
        <f t="shared" ref="H1581:K1581" si="714">H1582+H1585</f>
        <v>267955.5</v>
      </c>
      <c r="I1581" s="35">
        <f t="shared" si="714"/>
        <v>112657.7</v>
      </c>
      <c r="J1581" s="35">
        <f t="shared" si="714"/>
        <v>112657.7</v>
      </c>
      <c r="K1581" s="35">
        <f t="shared" si="714"/>
        <v>112657.7</v>
      </c>
      <c r="L1581" s="35">
        <f t="shared" si="707"/>
        <v>42.043436316851121</v>
      </c>
      <c r="M1581" s="35">
        <f t="shared" si="708"/>
        <v>100</v>
      </c>
    </row>
    <row r="1582" spans="1:13" ht="38.25">
      <c r="A1582" s="59" t="s">
        <v>652</v>
      </c>
      <c r="B1582" s="28" t="s">
        <v>595</v>
      </c>
      <c r="C1582" s="28" t="s">
        <v>641</v>
      </c>
      <c r="D1582" s="28" t="s">
        <v>106</v>
      </c>
      <c r="E1582" s="28" t="s">
        <v>653</v>
      </c>
      <c r="F1582" s="58" t="s">
        <v>0</v>
      </c>
      <c r="G1582" s="35">
        <f>G1583</f>
        <v>207668</v>
      </c>
      <c r="H1582" s="35">
        <f t="shared" ref="H1582:K1583" si="715">H1583</f>
        <v>207668</v>
      </c>
      <c r="I1582" s="35">
        <f t="shared" si="715"/>
        <v>112657.7</v>
      </c>
      <c r="J1582" s="35">
        <f t="shared" si="715"/>
        <v>112657.7</v>
      </c>
      <c r="K1582" s="35">
        <f t="shared" si="715"/>
        <v>112657.7</v>
      </c>
      <c r="L1582" s="35">
        <f t="shared" si="707"/>
        <v>54.248945432132054</v>
      </c>
      <c r="M1582" s="35">
        <f t="shared" si="708"/>
        <v>100</v>
      </c>
    </row>
    <row r="1583" spans="1:13">
      <c r="A1583" s="59" t="s">
        <v>26</v>
      </c>
      <c r="B1583" s="28" t="s">
        <v>595</v>
      </c>
      <c r="C1583" s="28" t="s">
        <v>641</v>
      </c>
      <c r="D1583" s="28" t="s">
        <v>106</v>
      </c>
      <c r="E1583" s="28" t="s">
        <v>653</v>
      </c>
      <c r="F1583" s="28" t="s">
        <v>27</v>
      </c>
      <c r="G1583" s="35">
        <f>G1584</f>
        <v>207668</v>
      </c>
      <c r="H1583" s="35">
        <f t="shared" si="715"/>
        <v>207668</v>
      </c>
      <c r="I1583" s="35">
        <f t="shared" si="715"/>
        <v>112657.7</v>
      </c>
      <c r="J1583" s="35">
        <f t="shared" si="715"/>
        <v>112657.7</v>
      </c>
      <c r="K1583" s="35">
        <f t="shared" si="715"/>
        <v>112657.7</v>
      </c>
      <c r="L1583" s="35">
        <f t="shared" si="707"/>
        <v>54.248945432132054</v>
      </c>
      <c r="M1583" s="35">
        <f t="shared" si="708"/>
        <v>100</v>
      </c>
    </row>
    <row r="1584" spans="1:13">
      <c r="A1584" s="59" t="s">
        <v>647</v>
      </c>
      <c r="B1584" s="28" t="s">
        <v>595</v>
      </c>
      <c r="C1584" s="28" t="s">
        <v>641</v>
      </c>
      <c r="D1584" s="28" t="s">
        <v>106</v>
      </c>
      <c r="E1584" s="28" t="s">
        <v>653</v>
      </c>
      <c r="F1584" s="28" t="s">
        <v>648</v>
      </c>
      <c r="G1584" s="35">
        <v>207668</v>
      </c>
      <c r="H1584" s="35">
        <v>207668</v>
      </c>
      <c r="I1584" s="35">
        <v>112657.7</v>
      </c>
      <c r="J1584" s="35">
        <v>112657.7</v>
      </c>
      <c r="K1584" s="35">
        <v>112657.7</v>
      </c>
      <c r="L1584" s="35">
        <f t="shared" si="707"/>
        <v>54.248945432132054</v>
      </c>
      <c r="M1584" s="35">
        <f t="shared" si="708"/>
        <v>100</v>
      </c>
    </row>
    <row r="1585" spans="1:13" ht="25.5">
      <c r="A1585" s="59" t="s">
        <v>654</v>
      </c>
      <c r="B1585" s="28" t="s">
        <v>595</v>
      </c>
      <c r="C1585" s="28" t="s">
        <v>641</v>
      </c>
      <c r="D1585" s="28" t="s">
        <v>106</v>
      </c>
      <c r="E1585" s="28" t="s">
        <v>655</v>
      </c>
      <c r="F1585" s="58" t="s">
        <v>0</v>
      </c>
      <c r="G1585" s="35">
        <f>G1586</f>
        <v>60287.5</v>
      </c>
      <c r="H1585" s="35">
        <f t="shared" ref="H1585:K1586" si="716">H1586</f>
        <v>60287.5</v>
      </c>
      <c r="I1585" s="35">
        <f t="shared" si="716"/>
        <v>0</v>
      </c>
      <c r="J1585" s="35">
        <f t="shared" si="716"/>
        <v>0</v>
      </c>
      <c r="K1585" s="35">
        <f t="shared" si="716"/>
        <v>0</v>
      </c>
      <c r="L1585" s="35">
        <f t="shared" si="707"/>
        <v>0</v>
      </c>
      <c r="M1585" s="35">
        <v>0</v>
      </c>
    </row>
    <row r="1586" spans="1:13">
      <c r="A1586" s="59" t="s">
        <v>26</v>
      </c>
      <c r="B1586" s="28" t="s">
        <v>595</v>
      </c>
      <c r="C1586" s="28" t="s">
        <v>641</v>
      </c>
      <c r="D1586" s="28" t="s">
        <v>106</v>
      </c>
      <c r="E1586" s="28" t="s">
        <v>655</v>
      </c>
      <c r="F1586" s="28" t="s">
        <v>27</v>
      </c>
      <c r="G1586" s="35">
        <f>G1587</f>
        <v>60287.5</v>
      </c>
      <c r="H1586" s="35">
        <f t="shared" si="716"/>
        <v>60287.5</v>
      </c>
      <c r="I1586" s="35">
        <f t="shared" si="716"/>
        <v>0</v>
      </c>
      <c r="J1586" s="35">
        <f t="shared" si="716"/>
        <v>0</v>
      </c>
      <c r="K1586" s="35">
        <f t="shared" si="716"/>
        <v>0</v>
      </c>
      <c r="L1586" s="35">
        <f t="shared" si="707"/>
        <v>0</v>
      </c>
      <c r="M1586" s="35">
        <v>0</v>
      </c>
    </row>
    <row r="1587" spans="1:13">
      <c r="A1587" s="59" t="s">
        <v>647</v>
      </c>
      <c r="B1587" s="28" t="s">
        <v>595</v>
      </c>
      <c r="C1587" s="28" t="s">
        <v>641</v>
      </c>
      <c r="D1587" s="28" t="s">
        <v>106</v>
      </c>
      <c r="E1587" s="28" t="s">
        <v>655</v>
      </c>
      <c r="F1587" s="28" t="s">
        <v>648</v>
      </c>
      <c r="G1587" s="35">
        <v>60287.5</v>
      </c>
      <c r="H1587" s="35">
        <v>60287.5</v>
      </c>
      <c r="I1587" s="35">
        <v>0</v>
      </c>
      <c r="J1587" s="35">
        <v>0</v>
      </c>
      <c r="K1587" s="35">
        <v>0</v>
      </c>
      <c r="L1587" s="35">
        <f t="shared" si="707"/>
        <v>0</v>
      </c>
      <c r="M1587" s="35">
        <v>0</v>
      </c>
    </row>
    <row r="1588" spans="1:13">
      <c r="A1588" s="59" t="s">
        <v>656</v>
      </c>
      <c r="B1588" s="28" t="s">
        <v>595</v>
      </c>
      <c r="C1588" s="28" t="s">
        <v>641</v>
      </c>
      <c r="D1588" s="28" t="s">
        <v>150</v>
      </c>
      <c r="E1588" s="58" t="s">
        <v>0</v>
      </c>
      <c r="F1588" s="58" t="s">
        <v>0</v>
      </c>
      <c r="G1588" s="35">
        <f>G1589</f>
        <v>1992310</v>
      </c>
      <c r="H1588" s="35">
        <f>H1589+H1604</f>
        <v>1994055.8</v>
      </c>
      <c r="I1588" s="35">
        <f>I1589+I1604</f>
        <v>1485536.1710000001</v>
      </c>
      <c r="J1588" s="35">
        <f>J1589+J1604</f>
        <v>1484744.317</v>
      </c>
      <c r="K1588" s="35">
        <f>K1589+K1604</f>
        <v>1484744.317</v>
      </c>
      <c r="L1588" s="35">
        <f t="shared" si="707"/>
        <v>74.458513999457793</v>
      </c>
      <c r="M1588" s="35">
        <f t="shared" si="708"/>
        <v>99.946695744239804</v>
      </c>
    </row>
    <row r="1589" spans="1:13" ht="51">
      <c r="A1589" s="59" t="s">
        <v>596</v>
      </c>
      <c r="B1589" s="28" t="s">
        <v>595</v>
      </c>
      <c r="C1589" s="28" t="s">
        <v>641</v>
      </c>
      <c r="D1589" s="28" t="s">
        <v>150</v>
      </c>
      <c r="E1589" s="28" t="s">
        <v>597</v>
      </c>
      <c r="F1589" s="58" t="s">
        <v>0</v>
      </c>
      <c r="G1589" s="35">
        <f>G1590+G1597</f>
        <v>1992310</v>
      </c>
      <c r="H1589" s="35">
        <f t="shared" ref="H1589:K1589" si="717">H1590+H1597</f>
        <v>1992310</v>
      </c>
      <c r="I1589" s="35">
        <f t="shared" si="717"/>
        <v>1483790.371</v>
      </c>
      <c r="J1589" s="35">
        <f t="shared" si="717"/>
        <v>1482998.517</v>
      </c>
      <c r="K1589" s="35">
        <f t="shared" si="717"/>
        <v>1482998.517</v>
      </c>
      <c r="L1589" s="35">
        <f t="shared" si="707"/>
        <v>74.436132780541172</v>
      </c>
      <c r="M1589" s="35">
        <f t="shared" si="708"/>
        <v>99.946633027449394</v>
      </c>
    </row>
    <row r="1590" spans="1:13" ht="51">
      <c r="A1590" s="59" t="s">
        <v>598</v>
      </c>
      <c r="B1590" s="28" t="s">
        <v>595</v>
      </c>
      <c r="C1590" s="28" t="s">
        <v>641</v>
      </c>
      <c r="D1590" s="28" t="s">
        <v>150</v>
      </c>
      <c r="E1590" s="28" t="s">
        <v>599</v>
      </c>
      <c r="F1590" s="58" t="s">
        <v>0</v>
      </c>
      <c r="G1590" s="35">
        <f>G1591+G1594</f>
        <v>5490</v>
      </c>
      <c r="H1590" s="35">
        <f t="shared" ref="H1590:K1590" si="718">H1591+H1594</f>
        <v>5490</v>
      </c>
      <c r="I1590" s="35">
        <f t="shared" si="718"/>
        <v>4797.3710000000001</v>
      </c>
      <c r="J1590" s="35">
        <f t="shared" si="718"/>
        <v>4005.5169999999998</v>
      </c>
      <c r="K1590" s="35">
        <f t="shared" si="718"/>
        <v>4005.5169999999998</v>
      </c>
      <c r="L1590" s="35">
        <f t="shared" si="707"/>
        <v>72.960236794171223</v>
      </c>
      <c r="M1590" s="35">
        <f t="shared" si="708"/>
        <v>83.494001193570384</v>
      </c>
    </row>
    <row r="1591" spans="1:13" ht="38.25">
      <c r="A1591" s="59" t="s">
        <v>657</v>
      </c>
      <c r="B1591" s="28" t="s">
        <v>595</v>
      </c>
      <c r="C1591" s="28" t="s">
        <v>641</v>
      </c>
      <c r="D1591" s="28" t="s">
        <v>150</v>
      </c>
      <c r="E1591" s="28" t="s">
        <v>658</v>
      </c>
      <c r="F1591" s="58" t="s">
        <v>0</v>
      </c>
      <c r="G1591" s="35">
        <f>G1592</f>
        <v>3990</v>
      </c>
      <c r="H1591" s="35">
        <f t="shared" ref="H1591:K1592" si="719">H1592</f>
        <v>3990</v>
      </c>
      <c r="I1591" s="35">
        <f t="shared" si="719"/>
        <v>3297.3710000000001</v>
      </c>
      <c r="J1591" s="35">
        <f t="shared" si="719"/>
        <v>2505.5169999999998</v>
      </c>
      <c r="K1591" s="35">
        <f t="shared" si="719"/>
        <v>2505.5169999999998</v>
      </c>
      <c r="L1591" s="35">
        <f t="shared" si="707"/>
        <v>62.794912280701752</v>
      </c>
      <c r="M1591" s="35">
        <f t="shared" si="708"/>
        <v>75.985292525469532</v>
      </c>
    </row>
    <row r="1592" spans="1:13">
      <c r="A1592" s="59" t="s">
        <v>26</v>
      </c>
      <c r="B1592" s="28" t="s">
        <v>595</v>
      </c>
      <c r="C1592" s="28" t="s">
        <v>641</v>
      </c>
      <c r="D1592" s="28" t="s">
        <v>150</v>
      </c>
      <c r="E1592" s="28" t="s">
        <v>658</v>
      </c>
      <c r="F1592" s="28" t="s">
        <v>27</v>
      </c>
      <c r="G1592" s="35">
        <f>G1593</f>
        <v>3990</v>
      </c>
      <c r="H1592" s="35">
        <f t="shared" si="719"/>
        <v>3990</v>
      </c>
      <c r="I1592" s="35">
        <f t="shared" si="719"/>
        <v>3297.3710000000001</v>
      </c>
      <c r="J1592" s="35">
        <f t="shared" si="719"/>
        <v>2505.5169999999998</v>
      </c>
      <c r="K1592" s="35">
        <f t="shared" si="719"/>
        <v>2505.5169999999998</v>
      </c>
      <c r="L1592" s="35">
        <f t="shared" si="707"/>
        <v>62.794912280701752</v>
      </c>
      <c r="M1592" s="35">
        <f t="shared" si="708"/>
        <v>75.985292525469532</v>
      </c>
    </row>
    <row r="1593" spans="1:13">
      <c r="A1593" s="59" t="s">
        <v>56</v>
      </c>
      <c r="B1593" s="28" t="s">
        <v>595</v>
      </c>
      <c r="C1593" s="28" t="s">
        <v>641</v>
      </c>
      <c r="D1593" s="28" t="s">
        <v>150</v>
      </c>
      <c r="E1593" s="28" t="s">
        <v>658</v>
      </c>
      <c r="F1593" s="28" t="s">
        <v>57</v>
      </c>
      <c r="G1593" s="35">
        <v>3990</v>
      </c>
      <c r="H1593" s="35">
        <v>3990</v>
      </c>
      <c r="I1593" s="35">
        <v>3297.3710000000001</v>
      </c>
      <c r="J1593" s="35">
        <v>2505.5169999999998</v>
      </c>
      <c r="K1593" s="35">
        <v>2505.5169999999998</v>
      </c>
      <c r="L1593" s="35">
        <f t="shared" si="707"/>
        <v>62.794912280701752</v>
      </c>
      <c r="M1593" s="35">
        <f t="shared" si="708"/>
        <v>75.985292525469532</v>
      </c>
    </row>
    <row r="1594" spans="1:13" ht="89.25">
      <c r="A1594" s="59" t="s">
        <v>659</v>
      </c>
      <c r="B1594" s="28" t="s">
        <v>595</v>
      </c>
      <c r="C1594" s="28" t="s">
        <v>641</v>
      </c>
      <c r="D1594" s="28" t="s">
        <v>150</v>
      </c>
      <c r="E1594" s="28" t="s">
        <v>660</v>
      </c>
      <c r="F1594" s="58" t="s">
        <v>0</v>
      </c>
      <c r="G1594" s="35">
        <f>G1595</f>
        <v>1500</v>
      </c>
      <c r="H1594" s="35">
        <f t="shared" ref="H1594:K1595" si="720">H1595</f>
        <v>1500</v>
      </c>
      <c r="I1594" s="35">
        <f t="shared" si="720"/>
        <v>1500</v>
      </c>
      <c r="J1594" s="35">
        <f t="shared" si="720"/>
        <v>1500</v>
      </c>
      <c r="K1594" s="35">
        <f t="shared" si="720"/>
        <v>1500</v>
      </c>
      <c r="L1594" s="35">
        <f t="shared" si="707"/>
        <v>100</v>
      </c>
      <c r="M1594" s="35">
        <f t="shared" si="708"/>
        <v>100</v>
      </c>
    </row>
    <row r="1595" spans="1:13">
      <c r="A1595" s="59" t="s">
        <v>26</v>
      </c>
      <c r="B1595" s="28" t="s">
        <v>595</v>
      </c>
      <c r="C1595" s="28" t="s">
        <v>641</v>
      </c>
      <c r="D1595" s="28" t="s">
        <v>150</v>
      </c>
      <c r="E1595" s="28" t="s">
        <v>660</v>
      </c>
      <c r="F1595" s="28" t="s">
        <v>27</v>
      </c>
      <c r="G1595" s="35">
        <f>G1596</f>
        <v>1500</v>
      </c>
      <c r="H1595" s="35">
        <f t="shared" si="720"/>
        <v>1500</v>
      </c>
      <c r="I1595" s="35">
        <f t="shared" si="720"/>
        <v>1500</v>
      </c>
      <c r="J1595" s="35">
        <f t="shared" si="720"/>
        <v>1500</v>
      </c>
      <c r="K1595" s="35">
        <f t="shared" si="720"/>
        <v>1500</v>
      </c>
      <c r="L1595" s="35">
        <f t="shared" si="707"/>
        <v>100</v>
      </c>
      <c r="M1595" s="35">
        <f t="shared" si="708"/>
        <v>100</v>
      </c>
    </row>
    <row r="1596" spans="1:13">
      <c r="A1596" s="59" t="s">
        <v>56</v>
      </c>
      <c r="B1596" s="28" t="s">
        <v>595</v>
      </c>
      <c r="C1596" s="28" t="s">
        <v>641</v>
      </c>
      <c r="D1596" s="28" t="s">
        <v>150</v>
      </c>
      <c r="E1596" s="28" t="s">
        <v>660</v>
      </c>
      <c r="F1596" s="28" t="s">
        <v>57</v>
      </c>
      <c r="G1596" s="35">
        <v>1500</v>
      </c>
      <c r="H1596" s="35">
        <v>1500</v>
      </c>
      <c r="I1596" s="35">
        <v>1500</v>
      </c>
      <c r="J1596" s="35">
        <v>1500</v>
      </c>
      <c r="K1596" s="35">
        <v>1500</v>
      </c>
      <c r="L1596" s="35">
        <f t="shared" si="707"/>
        <v>100</v>
      </c>
      <c r="M1596" s="35">
        <f t="shared" si="708"/>
        <v>100</v>
      </c>
    </row>
    <row r="1597" spans="1:13" ht="38.25">
      <c r="A1597" s="59" t="s">
        <v>643</v>
      </c>
      <c r="B1597" s="28" t="s">
        <v>595</v>
      </c>
      <c r="C1597" s="28" t="s">
        <v>641</v>
      </c>
      <c r="D1597" s="28" t="s">
        <v>150</v>
      </c>
      <c r="E1597" s="28" t="s">
        <v>644</v>
      </c>
      <c r="F1597" s="58" t="s">
        <v>0</v>
      </c>
      <c r="G1597" s="35">
        <f>G1598+G1601</f>
        <v>1986820</v>
      </c>
      <c r="H1597" s="35">
        <f t="shared" ref="H1597:K1597" si="721">H1598+H1601</f>
        <v>1986820</v>
      </c>
      <c r="I1597" s="35">
        <f t="shared" si="721"/>
        <v>1478993</v>
      </c>
      <c r="J1597" s="35">
        <f t="shared" si="721"/>
        <v>1478993</v>
      </c>
      <c r="K1597" s="35">
        <f t="shared" si="721"/>
        <v>1478993</v>
      </c>
      <c r="L1597" s="35">
        <f t="shared" si="707"/>
        <v>74.44021099042692</v>
      </c>
      <c r="M1597" s="35">
        <f t="shared" si="708"/>
        <v>100</v>
      </c>
    </row>
    <row r="1598" spans="1:13">
      <c r="A1598" s="59" t="s">
        <v>645</v>
      </c>
      <c r="B1598" s="28" t="s">
        <v>595</v>
      </c>
      <c r="C1598" s="28" t="s">
        <v>641</v>
      </c>
      <c r="D1598" s="28" t="s">
        <v>150</v>
      </c>
      <c r="E1598" s="28" t="s">
        <v>646</v>
      </c>
      <c r="F1598" s="58" t="s">
        <v>0</v>
      </c>
      <c r="G1598" s="35">
        <f>G1599</f>
        <v>88150.9</v>
      </c>
      <c r="H1598" s="35">
        <f t="shared" ref="H1598:K1599" si="722">H1599</f>
        <v>88150.9</v>
      </c>
      <c r="I1598" s="35">
        <f t="shared" si="722"/>
        <v>67822.899999999994</v>
      </c>
      <c r="J1598" s="35">
        <f t="shared" si="722"/>
        <v>67822.899999999994</v>
      </c>
      <c r="K1598" s="35">
        <f t="shared" si="722"/>
        <v>67822.899999999994</v>
      </c>
      <c r="L1598" s="35">
        <f t="shared" si="707"/>
        <v>76.939543441984142</v>
      </c>
      <c r="M1598" s="35">
        <f t="shared" si="708"/>
        <v>100</v>
      </c>
    </row>
    <row r="1599" spans="1:13">
      <c r="A1599" s="59" t="s">
        <v>26</v>
      </c>
      <c r="B1599" s="28" t="s">
        <v>595</v>
      </c>
      <c r="C1599" s="28" t="s">
        <v>641</v>
      </c>
      <c r="D1599" s="28" t="s">
        <v>150</v>
      </c>
      <c r="E1599" s="28" t="s">
        <v>646</v>
      </c>
      <c r="F1599" s="28" t="s">
        <v>27</v>
      </c>
      <c r="G1599" s="35">
        <f>G1600</f>
        <v>88150.9</v>
      </c>
      <c r="H1599" s="35">
        <f t="shared" si="722"/>
        <v>88150.9</v>
      </c>
      <c r="I1599" s="35">
        <f t="shared" si="722"/>
        <v>67822.899999999994</v>
      </c>
      <c r="J1599" s="35">
        <f t="shared" si="722"/>
        <v>67822.899999999994</v>
      </c>
      <c r="K1599" s="35">
        <f t="shared" si="722"/>
        <v>67822.899999999994</v>
      </c>
      <c r="L1599" s="35">
        <f t="shared" si="707"/>
        <v>76.939543441984142</v>
      </c>
      <c r="M1599" s="35">
        <f t="shared" si="708"/>
        <v>100</v>
      </c>
    </row>
    <row r="1600" spans="1:13">
      <c r="A1600" s="59" t="s">
        <v>28</v>
      </c>
      <c r="B1600" s="28" t="s">
        <v>595</v>
      </c>
      <c r="C1600" s="28" t="s">
        <v>641</v>
      </c>
      <c r="D1600" s="28" t="s">
        <v>150</v>
      </c>
      <c r="E1600" s="28" t="s">
        <v>646</v>
      </c>
      <c r="F1600" s="28" t="s">
        <v>29</v>
      </c>
      <c r="G1600" s="35">
        <v>88150.9</v>
      </c>
      <c r="H1600" s="35">
        <v>88150.9</v>
      </c>
      <c r="I1600" s="35">
        <v>67822.899999999994</v>
      </c>
      <c r="J1600" s="35">
        <v>67822.899999999994</v>
      </c>
      <c r="K1600" s="35">
        <v>67822.899999999994</v>
      </c>
      <c r="L1600" s="35">
        <f t="shared" si="707"/>
        <v>76.939543441984142</v>
      </c>
      <c r="M1600" s="35">
        <f t="shared" si="708"/>
        <v>100</v>
      </c>
    </row>
    <row r="1601" spans="1:13">
      <c r="A1601" s="59" t="s">
        <v>661</v>
      </c>
      <c r="B1601" s="28" t="s">
        <v>595</v>
      </c>
      <c r="C1601" s="28" t="s">
        <v>641</v>
      </c>
      <c r="D1601" s="28" t="s">
        <v>150</v>
      </c>
      <c r="E1601" s="28" t="s">
        <v>662</v>
      </c>
      <c r="F1601" s="58" t="s">
        <v>0</v>
      </c>
      <c r="G1601" s="35">
        <f>G1602</f>
        <v>1898669.1</v>
      </c>
      <c r="H1601" s="35">
        <f t="shared" ref="H1601:K1602" si="723">H1602</f>
        <v>1898669.1</v>
      </c>
      <c r="I1601" s="35">
        <f t="shared" si="723"/>
        <v>1411170.1</v>
      </c>
      <c r="J1601" s="35">
        <f t="shared" si="723"/>
        <v>1411170.1</v>
      </c>
      <c r="K1601" s="35">
        <f t="shared" si="723"/>
        <v>1411170.1</v>
      </c>
      <c r="L1601" s="35">
        <f t="shared" si="707"/>
        <v>74.324172653360193</v>
      </c>
      <c r="M1601" s="35">
        <f t="shared" si="708"/>
        <v>100</v>
      </c>
    </row>
    <row r="1602" spans="1:13">
      <c r="A1602" s="59" t="s">
        <v>26</v>
      </c>
      <c r="B1602" s="28" t="s">
        <v>595</v>
      </c>
      <c r="C1602" s="28" t="s">
        <v>641</v>
      </c>
      <c r="D1602" s="28" t="s">
        <v>150</v>
      </c>
      <c r="E1602" s="28" t="s">
        <v>662</v>
      </c>
      <c r="F1602" s="28" t="s">
        <v>27</v>
      </c>
      <c r="G1602" s="35">
        <f>G1603</f>
        <v>1898669.1</v>
      </c>
      <c r="H1602" s="35">
        <f t="shared" si="723"/>
        <v>1898669.1</v>
      </c>
      <c r="I1602" s="35">
        <f t="shared" si="723"/>
        <v>1411170.1</v>
      </c>
      <c r="J1602" s="35">
        <f t="shared" si="723"/>
        <v>1411170.1</v>
      </c>
      <c r="K1602" s="35">
        <f t="shared" si="723"/>
        <v>1411170.1</v>
      </c>
      <c r="L1602" s="35">
        <f t="shared" si="707"/>
        <v>74.324172653360193</v>
      </c>
      <c r="M1602" s="35">
        <f t="shared" si="708"/>
        <v>100</v>
      </c>
    </row>
    <row r="1603" spans="1:13">
      <c r="A1603" s="59" t="s">
        <v>56</v>
      </c>
      <c r="B1603" s="28" t="s">
        <v>595</v>
      </c>
      <c r="C1603" s="28" t="s">
        <v>641</v>
      </c>
      <c r="D1603" s="28" t="s">
        <v>150</v>
      </c>
      <c r="E1603" s="28" t="s">
        <v>662</v>
      </c>
      <c r="F1603" s="28" t="s">
        <v>57</v>
      </c>
      <c r="G1603" s="35">
        <v>1898669.1</v>
      </c>
      <c r="H1603" s="35">
        <v>1898669.1</v>
      </c>
      <c r="I1603" s="36">
        <v>1411170.1</v>
      </c>
      <c r="J1603" s="35">
        <v>1411170.1</v>
      </c>
      <c r="K1603" s="35">
        <v>1411170.1</v>
      </c>
      <c r="L1603" s="35">
        <f t="shared" si="707"/>
        <v>74.324172653360193</v>
      </c>
      <c r="M1603" s="35">
        <f t="shared" si="708"/>
        <v>100</v>
      </c>
    </row>
    <row r="1604" spans="1:13" s="92" customFormat="1" ht="24" customHeight="1">
      <c r="A1604" s="59" t="s">
        <v>612</v>
      </c>
      <c r="B1604" s="28" t="s">
        <v>595</v>
      </c>
      <c r="C1604" s="28" t="s">
        <v>641</v>
      </c>
      <c r="D1604" s="28" t="s">
        <v>150</v>
      </c>
      <c r="E1604" s="29" t="s">
        <v>613</v>
      </c>
      <c r="F1604" s="28"/>
      <c r="G1604" s="35"/>
      <c r="H1604" s="35">
        <f>H1605</f>
        <v>1745.8</v>
      </c>
      <c r="I1604" s="35">
        <f t="shared" ref="I1604:K1606" si="724">I1605</f>
        <v>1745.8</v>
      </c>
      <c r="J1604" s="35">
        <f t="shared" si="724"/>
        <v>1745.8</v>
      </c>
      <c r="K1604" s="35">
        <f t="shared" si="724"/>
        <v>1745.8</v>
      </c>
      <c r="L1604" s="35">
        <f t="shared" si="707"/>
        <v>100</v>
      </c>
      <c r="M1604" s="35">
        <f t="shared" si="708"/>
        <v>100</v>
      </c>
    </row>
    <row r="1605" spans="1:13" s="92" customFormat="1" ht="27.75" customHeight="1">
      <c r="A1605" s="59" t="s">
        <v>612</v>
      </c>
      <c r="B1605" s="28" t="s">
        <v>595</v>
      </c>
      <c r="C1605" s="28" t="s">
        <v>641</v>
      </c>
      <c r="D1605" s="28" t="s">
        <v>150</v>
      </c>
      <c r="E1605" s="29" t="s">
        <v>614</v>
      </c>
      <c r="F1605" s="28"/>
      <c r="G1605" s="35"/>
      <c r="H1605" s="35">
        <f>H1606</f>
        <v>1745.8</v>
      </c>
      <c r="I1605" s="35">
        <f t="shared" si="724"/>
        <v>1745.8</v>
      </c>
      <c r="J1605" s="35">
        <f t="shared" si="724"/>
        <v>1745.8</v>
      </c>
      <c r="K1605" s="35">
        <f t="shared" si="724"/>
        <v>1745.8</v>
      </c>
      <c r="L1605" s="35">
        <f t="shared" si="707"/>
        <v>100</v>
      </c>
      <c r="M1605" s="35">
        <f t="shared" si="708"/>
        <v>100</v>
      </c>
    </row>
    <row r="1606" spans="1:13" s="92" customFormat="1">
      <c r="A1606" s="59" t="s">
        <v>26</v>
      </c>
      <c r="B1606" s="28" t="s">
        <v>595</v>
      </c>
      <c r="C1606" s="28" t="s">
        <v>641</v>
      </c>
      <c r="D1606" s="28" t="s">
        <v>150</v>
      </c>
      <c r="E1606" s="29" t="s">
        <v>614</v>
      </c>
      <c r="F1606" s="28">
        <v>500</v>
      </c>
      <c r="G1606" s="35"/>
      <c r="H1606" s="35">
        <f>H1607</f>
        <v>1745.8</v>
      </c>
      <c r="I1606" s="35">
        <f t="shared" si="724"/>
        <v>1745.8</v>
      </c>
      <c r="J1606" s="35">
        <f t="shared" si="724"/>
        <v>1745.8</v>
      </c>
      <c r="K1606" s="35">
        <f t="shared" si="724"/>
        <v>1745.8</v>
      </c>
      <c r="L1606" s="35">
        <f t="shared" si="707"/>
        <v>100</v>
      </c>
      <c r="M1606" s="35">
        <f t="shared" si="708"/>
        <v>100</v>
      </c>
    </row>
    <row r="1607" spans="1:13" s="92" customFormat="1">
      <c r="A1607" s="62" t="s">
        <v>352</v>
      </c>
      <c r="B1607" s="28" t="s">
        <v>595</v>
      </c>
      <c r="C1607" s="28" t="s">
        <v>641</v>
      </c>
      <c r="D1607" s="28" t="s">
        <v>150</v>
      </c>
      <c r="E1607" s="29" t="s">
        <v>614</v>
      </c>
      <c r="F1607" s="28">
        <v>540</v>
      </c>
      <c r="G1607" s="35"/>
      <c r="H1607" s="35">
        <v>1745.8</v>
      </c>
      <c r="I1607" s="35">
        <v>1745.8</v>
      </c>
      <c r="J1607" s="35">
        <v>1745.8</v>
      </c>
      <c r="K1607" s="35">
        <v>1745.8</v>
      </c>
      <c r="L1607" s="35">
        <f t="shared" si="707"/>
        <v>100</v>
      </c>
      <c r="M1607" s="35">
        <f t="shared" si="708"/>
        <v>100</v>
      </c>
    </row>
    <row r="1608" spans="1:13">
      <c r="A1608" s="64" t="s">
        <v>0</v>
      </c>
      <c r="B1608" s="65" t="s">
        <v>0</v>
      </c>
      <c r="C1608" s="58" t="s">
        <v>0</v>
      </c>
      <c r="D1608" s="58" t="s">
        <v>0</v>
      </c>
      <c r="E1608" s="58" t="s">
        <v>0</v>
      </c>
      <c r="F1608" s="58" t="s">
        <v>0</v>
      </c>
      <c r="G1608" s="66" t="s">
        <v>0</v>
      </c>
      <c r="H1608" s="66" t="s">
        <v>0</v>
      </c>
      <c r="I1608" s="66" t="s">
        <v>0</v>
      </c>
      <c r="J1608" s="66" t="s">
        <v>0</v>
      </c>
      <c r="K1608" s="66" t="s">
        <v>0</v>
      </c>
      <c r="L1608" s="35"/>
      <c r="M1608" s="35"/>
    </row>
    <row r="1609" spans="1:13" ht="25.5">
      <c r="A1609" s="56" t="s">
        <v>663</v>
      </c>
      <c r="B1609" s="57" t="s">
        <v>664</v>
      </c>
      <c r="C1609" s="58" t="s">
        <v>0</v>
      </c>
      <c r="D1609" s="58" t="s">
        <v>0</v>
      </c>
      <c r="E1609" s="58" t="s">
        <v>0</v>
      </c>
      <c r="F1609" s="58" t="s">
        <v>0</v>
      </c>
      <c r="G1609" s="30">
        <f>G1610+G1621</f>
        <v>7089472.9999999991</v>
      </c>
      <c r="H1609" s="30">
        <f t="shared" ref="H1609" si="725">H1610+H1621</f>
        <v>7125783.5952499984</v>
      </c>
      <c r="I1609" s="30">
        <f t="shared" ref="I1609:K1609" si="726">I1610+I1621</f>
        <v>4772166.6040900005</v>
      </c>
      <c r="J1609" s="30">
        <f t="shared" si="726"/>
        <v>4772166.6040900005</v>
      </c>
      <c r="K1609" s="30">
        <f t="shared" si="726"/>
        <v>4756117.9353</v>
      </c>
      <c r="L1609" s="30">
        <f t="shared" si="707"/>
        <v>66.745191903812483</v>
      </c>
      <c r="M1609" s="30">
        <f t="shared" si="708"/>
        <v>99.663702671733091</v>
      </c>
    </row>
    <row r="1610" spans="1:13">
      <c r="A1610" s="59" t="s">
        <v>16</v>
      </c>
      <c r="B1610" s="28" t="s">
        <v>664</v>
      </c>
      <c r="C1610" s="28" t="s">
        <v>17</v>
      </c>
      <c r="D1610" s="58" t="s">
        <v>0</v>
      </c>
      <c r="E1610" s="58" t="s">
        <v>0</v>
      </c>
      <c r="F1610" s="58" t="s">
        <v>0</v>
      </c>
      <c r="G1610" s="35">
        <f t="shared" ref="G1610:G1618" si="727">G1611</f>
        <v>0</v>
      </c>
      <c r="H1610" s="35">
        <f t="shared" ref="H1610:K1618" si="728">H1611</f>
        <v>723.26076999999998</v>
      </c>
      <c r="I1610" s="35">
        <f t="shared" si="728"/>
        <v>206</v>
      </c>
      <c r="J1610" s="35">
        <f t="shared" si="728"/>
        <v>206</v>
      </c>
      <c r="K1610" s="35">
        <f t="shared" si="728"/>
        <v>171</v>
      </c>
      <c r="L1610" s="35">
        <f t="shared" si="707"/>
        <v>23.642924805668638</v>
      </c>
      <c r="M1610" s="35">
        <f t="shared" si="708"/>
        <v>83.009708737864074</v>
      </c>
    </row>
    <row r="1611" spans="1:13">
      <c r="A1611" s="59" t="s">
        <v>386</v>
      </c>
      <c r="B1611" s="28" t="s">
        <v>664</v>
      </c>
      <c r="C1611" s="28" t="s">
        <v>17</v>
      </c>
      <c r="D1611" s="28" t="s">
        <v>387</v>
      </c>
      <c r="E1611" s="58" t="s">
        <v>0</v>
      </c>
      <c r="F1611" s="58" t="s">
        <v>0</v>
      </c>
      <c r="G1611" s="35">
        <f t="shared" si="727"/>
        <v>0</v>
      </c>
      <c r="H1611" s="35">
        <f t="shared" si="728"/>
        <v>723.26076999999998</v>
      </c>
      <c r="I1611" s="35">
        <f t="shared" si="728"/>
        <v>206</v>
      </c>
      <c r="J1611" s="35">
        <f t="shared" si="728"/>
        <v>206</v>
      </c>
      <c r="K1611" s="35">
        <f t="shared" si="728"/>
        <v>171</v>
      </c>
      <c r="L1611" s="35">
        <f t="shared" si="707"/>
        <v>23.642924805668638</v>
      </c>
      <c r="M1611" s="35">
        <f t="shared" si="708"/>
        <v>83.009708737864074</v>
      </c>
    </row>
    <row r="1612" spans="1:13" ht="38.25">
      <c r="A1612" s="59" t="s">
        <v>665</v>
      </c>
      <c r="B1612" s="28" t="s">
        <v>664</v>
      </c>
      <c r="C1612" s="28" t="s">
        <v>17</v>
      </c>
      <c r="D1612" s="28" t="s">
        <v>387</v>
      </c>
      <c r="E1612" s="28" t="s">
        <v>666</v>
      </c>
      <c r="F1612" s="58" t="s">
        <v>0</v>
      </c>
      <c r="G1612" s="35">
        <f t="shared" si="727"/>
        <v>0</v>
      </c>
      <c r="H1612" s="35">
        <f t="shared" si="728"/>
        <v>723.26076999999998</v>
      </c>
      <c r="I1612" s="35">
        <f t="shared" si="728"/>
        <v>206</v>
      </c>
      <c r="J1612" s="35">
        <f t="shared" si="728"/>
        <v>206</v>
      </c>
      <c r="K1612" s="35">
        <f t="shared" si="728"/>
        <v>171</v>
      </c>
      <c r="L1612" s="35">
        <f t="shared" si="707"/>
        <v>23.642924805668638</v>
      </c>
      <c r="M1612" s="35">
        <f t="shared" si="708"/>
        <v>83.009708737864074</v>
      </c>
    </row>
    <row r="1613" spans="1:13" ht="38.25">
      <c r="A1613" s="59" t="s">
        <v>667</v>
      </c>
      <c r="B1613" s="28" t="s">
        <v>664</v>
      </c>
      <c r="C1613" s="28" t="s">
        <v>17</v>
      </c>
      <c r="D1613" s="28" t="s">
        <v>387</v>
      </c>
      <c r="E1613" s="28" t="s">
        <v>668</v>
      </c>
      <c r="F1613" s="58" t="s">
        <v>0</v>
      </c>
      <c r="G1613" s="35">
        <f>G1617</f>
        <v>0</v>
      </c>
      <c r="H1613" s="35">
        <f>H1617+H1614</f>
        <v>723.26076999999998</v>
      </c>
      <c r="I1613" s="35">
        <f t="shared" ref="I1613:K1613" si="729">I1617+I1614</f>
        <v>206</v>
      </c>
      <c r="J1613" s="35">
        <f t="shared" si="729"/>
        <v>206</v>
      </c>
      <c r="K1613" s="35">
        <f t="shared" si="729"/>
        <v>171</v>
      </c>
      <c r="L1613" s="35">
        <f t="shared" si="707"/>
        <v>23.642924805668638</v>
      </c>
      <c r="M1613" s="35">
        <f t="shared" si="708"/>
        <v>83.009708737864074</v>
      </c>
    </row>
    <row r="1614" spans="1:13" ht="18.75" customHeight="1">
      <c r="A1614" s="59" t="s">
        <v>609</v>
      </c>
      <c r="B1614" s="28" t="s">
        <v>664</v>
      </c>
      <c r="C1614" s="28" t="s">
        <v>17</v>
      </c>
      <c r="D1614" s="28" t="s">
        <v>387</v>
      </c>
      <c r="E1614" s="29" t="s">
        <v>1174</v>
      </c>
      <c r="F1614" s="58"/>
      <c r="G1614" s="35"/>
      <c r="H1614" s="35">
        <f>H1616</f>
        <v>723.26076999999998</v>
      </c>
      <c r="I1614" s="35">
        <f t="shared" ref="I1614:K1614" si="730">I1616</f>
        <v>206</v>
      </c>
      <c r="J1614" s="35">
        <f t="shared" si="730"/>
        <v>206</v>
      </c>
      <c r="K1614" s="35">
        <f t="shared" si="730"/>
        <v>171</v>
      </c>
      <c r="L1614" s="35">
        <f t="shared" si="707"/>
        <v>23.642924805668638</v>
      </c>
      <c r="M1614" s="35">
        <f t="shared" si="708"/>
        <v>83.009708737864074</v>
      </c>
    </row>
    <row r="1615" spans="1:13">
      <c r="A1615" s="59" t="s">
        <v>72</v>
      </c>
      <c r="B1615" s="28" t="s">
        <v>664</v>
      </c>
      <c r="C1615" s="28" t="s">
        <v>17</v>
      </c>
      <c r="D1615" s="28" t="s">
        <v>387</v>
      </c>
      <c r="E1615" s="29" t="s">
        <v>1174</v>
      </c>
      <c r="F1615" s="58">
        <v>800</v>
      </c>
      <c r="G1615" s="35"/>
      <c r="H1615" s="35">
        <f>H1616</f>
        <v>723.26076999999998</v>
      </c>
      <c r="I1615" s="35">
        <f t="shared" ref="I1615:K1615" si="731">I1616</f>
        <v>206</v>
      </c>
      <c r="J1615" s="35">
        <f t="shared" si="731"/>
        <v>206</v>
      </c>
      <c r="K1615" s="35">
        <f t="shared" si="731"/>
        <v>171</v>
      </c>
      <c r="L1615" s="35">
        <f t="shared" si="707"/>
        <v>23.642924805668638</v>
      </c>
      <c r="M1615" s="35">
        <f t="shared" si="708"/>
        <v>83.009708737864074</v>
      </c>
    </row>
    <row r="1616" spans="1:13">
      <c r="A1616" s="59" t="s">
        <v>84</v>
      </c>
      <c r="B1616" s="28" t="s">
        <v>664</v>
      </c>
      <c r="C1616" s="28" t="s">
        <v>17</v>
      </c>
      <c r="D1616" s="28" t="s">
        <v>387</v>
      </c>
      <c r="E1616" s="29" t="s">
        <v>1174</v>
      </c>
      <c r="F1616" s="58">
        <v>830</v>
      </c>
      <c r="G1616" s="35"/>
      <c r="H1616" s="35">
        <v>723.26076999999998</v>
      </c>
      <c r="I1616" s="35">
        <v>206</v>
      </c>
      <c r="J1616" s="35">
        <v>206</v>
      </c>
      <c r="K1616" s="35">
        <v>171</v>
      </c>
      <c r="L1616" s="35">
        <f t="shared" si="707"/>
        <v>23.642924805668638</v>
      </c>
      <c r="M1616" s="35">
        <f t="shared" si="708"/>
        <v>83.009708737864074</v>
      </c>
    </row>
    <row r="1617" spans="1:13" ht="38.25" hidden="1">
      <c r="A1617" s="59" t="s">
        <v>669</v>
      </c>
      <c r="B1617" s="28" t="s">
        <v>664</v>
      </c>
      <c r="C1617" s="28" t="s">
        <v>17</v>
      </c>
      <c r="D1617" s="28" t="s">
        <v>387</v>
      </c>
      <c r="E1617" s="28" t="s">
        <v>670</v>
      </c>
      <c r="F1617" s="58" t="s">
        <v>0</v>
      </c>
      <c r="G1617" s="35">
        <f t="shared" si="727"/>
        <v>0</v>
      </c>
      <c r="H1617" s="35">
        <f t="shared" si="728"/>
        <v>0</v>
      </c>
      <c r="I1617" s="35">
        <f t="shared" si="728"/>
        <v>0</v>
      </c>
      <c r="J1617" s="35">
        <f t="shared" si="728"/>
        <v>0</v>
      </c>
      <c r="K1617" s="35">
        <f t="shared" si="728"/>
        <v>0</v>
      </c>
      <c r="L1617" s="35" t="e">
        <f t="shared" si="707"/>
        <v>#DIV/0!</v>
      </c>
      <c r="M1617" s="35" t="e">
        <f t="shared" si="708"/>
        <v>#DIV/0!</v>
      </c>
    </row>
    <row r="1618" spans="1:13" hidden="1">
      <c r="A1618" s="59" t="s">
        <v>72</v>
      </c>
      <c r="B1618" s="28" t="s">
        <v>664</v>
      </c>
      <c r="C1618" s="28" t="s">
        <v>17</v>
      </c>
      <c r="D1618" s="28" t="s">
        <v>387</v>
      </c>
      <c r="E1618" s="28" t="s">
        <v>670</v>
      </c>
      <c r="F1618" s="28" t="s">
        <v>73</v>
      </c>
      <c r="G1618" s="35">
        <f t="shared" si="727"/>
        <v>0</v>
      </c>
      <c r="H1618" s="35">
        <f t="shared" si="728"/>
        <v>0</v>
      </c>
      <c r="I1618" s="35">
        <f t="shared" si="728"/>
        <v>0</v>
      </c>
      <c r="J1618" s="35">
        <f t="shared" si="728"/>
        <v>0</v>
      </c>
      <c r="K1618" s="35">
        <f t="shared" si="728"/>
        <v>0</v>
      </c>
      <c r="L1618" s="35" t="e">
        <f t="shared" si="707"/>
        <v>#DIV/0!</v>
      </c>
      <c r="M1618" s="35" t="e">
        <f t="shared" si="708"/>
        <v>#DIV/0!</v>
      </c>
    </row>
    <row r="1619" spans="1:13" hidden="1">
      <c r="A1619" s="59" t="s">
        <v>615</v>
      </c>
      <c r="B1619" s="28" t="s">
        <v>664</v>
      </c>
      <c r="C1619" s="28" t="s">
        <v>17</v>
      </c>
      <c r="D1619" s="28" t="s">
        <v>387</v>
      </c>
      <c r="E1619" s="28" t="s">
        <v>670</v>
      </c>
      <c r="F1619" s="28" t="s">
        <v>616</v>
      </c>
      <c r="G1619" s="35"/>
      <c r="H1619" s="35"/>
      <c r="I1619" s="35">
        <v>0</v>
      </c>
      <c r="J1619" s="35">
        <v>0</v>
      </c>
      <c r="K1619" s="35">
        <v>0</v>
      </c>
      <c r="L1619" s="35" t="e">
        <f t="shared" si="707"/>
        <v>#DIV/0!</v>
      </c>
      <c r="M1619" s="35" t="e">
        <f t="shared" si="708"/>
        <v>#DIV/0!</v>
      </c>
    </row>
    <row r="1620" spans="1:13">
      <c r="A1620" s="60" t="s">
        <v>0</v>
      </c>
      <c r="B1620" s="58" t="s">
        <v>0</v>
      </c>
      <c r="C1620" s="58" t="s">
        <v>0</v>
      </c>
      <c r="D1620" s="58" t="s">
        <v>0</v>
      </c>
      <c r="E1620" s="58" t="s">
        <v>0</v>
      </c>
      <c r="F1620" s="58" t="s">
        <v>0</v>
      </c>
      <c r="G1620" s="61" t="s">
        <v>0</v>
      </c>
      <c r="H1620" s="61" t="s">
        <v>0</v>
      </c>
      <c r="I1620" s="61" t="s">
        <v>0</v>
      </c>
      <c r="J1620" s="61" t="s">
        <v>0</v>
      </c>
      <c r="K1620" s="61" t="s">
        <v>0</v>
      </c>
      <c r="L1620" s="35"/>
      <c r="M1620" s="35"/>
    </row>
    <row r="1621" spans="1:13">
      <c r="A1621" s="59" t="s">
        <v>30</v>
      </c>
      <c r="B1621" s="28" t="s">
        <v>664</v>
      </c>
      <c r="C1621" s="28" t="s">
        <v>19</v>
      </c>
      <c r="D1621" s="58" t="s">
        <v>0</v>
      </c>
      <c r="E1621" s="58" t="s">
        <v>0</v>
      </c>
      <c r="F1621" s="58" t="s">
        <v>0</v>
      </c>
      <c r="G1621" s="35">
        <f>G1622+G1666+G1729</f>
        <v>7089472.9999999991</v>
      </c>
      <c r="H1621" s="35">
        <f>H1622+H1666+H1729</f>
        <v>7125060.3344799988</v>
      </c>
      <c r="I1621" s="35">
        <f>I1622+I1666+I1729</f>
        <v>4771960.6040900005</v>
      </c>
      <c r="J1621" s="35">
        <f>J1622+J1666+J1729</f>
        <v>4771960.6040900005</v>
      </c>
      <c r="K1621" s="35">
        <f>K1622+K1666+K1729</f>
        <v>4755946.9353</v>
      </c>
      <c r="L1621" s="35">
        <f t="shared" si="707"/>
        <v>66.74956719011557</v>
      </c>
      <c r="M1621" s="35">
        <f t="shared" si="708"/>
        <v>99.664421605319305</v>
      </c>
    </row>
    <row r="1622" spans="1:13">
      <c r="A1622" s="59" t="s">
        <v>671</v>
      </c>
      <c r="B1622" s="28" t="s">
        <v>664</v>
      </c>
      <c r="C1622" s="28" t="s">
        <v>19</v>
      </c>
      <c r="D1622" s="28" t="s">
        <v>130</v>
      </c>
      <c r="E1622" s="58" t="s">
        <v>0</v>
      </c>
      <c r="F1622" s="58" t="s">
        <v>0</v>
      </c>
      <c r="G1622" s="35">
        <f>G1623+G1634</f>
        <v>504601.9</v>
      </c>
      <c r="H1622" s="35">
        <f>H1623+H1634+H1662</f>
        <v>534518.85808000003</v>
      </c>
      <c r="I1622" s="35">
        <f t="shared" ref="I1622:K1622" si="732">I1623+I1634+I1662</f>
        <v>386467.28306999995</v>
      </c>
      <c r="J1622" s="35">
        <f t="shared" si="732"/>
        <v>386467.28306999995</v>
      </c>
      <c r="K1622" s="35">
        <f t="shared" si="732"/>
        <v>381143.53116999997</v>
      </c>
      <c r="L1622" s="35">
        <f t="shared" si="707"/>
        <v>71.305909119665742</v>
      </c>
      <c r="M1622" s="35">
        <f t="shared" si="708"/>
        <v>98.622457285980474</v>
      </c>
    </row>
    <row r="1623" spans="1:13" ht="38.25">
      <c r="A1623" s="59" t="s">
        <v>299</v>
      </c>
      <c r="B1623" s="28" t="s">
        <v>664</v>
      </c>
      <c r="C1623" s="28" t="s">
        <v>19</v>
      </c>
      <c r="D1623" s="28" t="s">
        <v>130</v>
      </c>
      <c r="E1623" s="28" t="s">
        <v>300</v>
      </c>
      <c r="F1623" s="58" t="s">
        <v>0</v>
      </c>
      <c r="G1623" s="35">
        <f>G1624</f>
        <v>1432</v>
      </c>
      <c r="H1623" s="35">
        <f t="shared" ref="H1623:K1632" si="733">H1624</f>
        <v>3032</v>
      </c>
      <c r="I1623" s="35">
        <f t="shared" si="733"/>
        <v>0</v>
      </c>
      <c r="J1623" s="35">
        <f t="shared" si="733"/>
        <v>0</v>
      </c>
      <c r="K1623" s="35">
        <f t="shared" si="733"/>
        <v>0</v>
      </c>
      <c r="L1623" s="35">
        <f t="shared" si="707"/>
        <v>0</v>
      </c>
      <c r="M1623" s="35">
        <v>0</v>
      </c>
    </row>
    <row r="1624" spans="1:13">
      <c r="A1624" s="59" t="s">
        <v>301</v>
      </c>
      <c r="B1624" s="28" t="s">
        <v>664</v>
      </c>
      <c r="C1624" s="28" t="s">
        <v>19</v>
      </c>
      <c r="D1624" s="28" t="s">
        <v>130</v>
      </c>
      <c r="E1624" s="28" t="s">
        <v>302</v>
      </c>
      <c r="F1624" s="58" t="s">
        <v>0</v>
      </c>
      <c r="G1624" s="35">
        <f>G1631</f>
        <v>1432</v>
      </c>
      <c r="H1624" s="35">
        <f>H1631+H1625+H1628</f>
        <v>3032</v>
      </c>
      <c r="I1624" s="35">
        <f t="shared" ref="I1624:K1624" si="734">I1631+I1625+I1628</f>
        <v>0</v>
      </c>
      <c r="J1624" s="35">
        <f t="shared" si="734"/>
        <v>0</v>
      </c>
      <c r="K1624" s="35">
        <f t="shared" si="734"/>
        <v>0</v>
      </c>
      <c r="L1624" s="35">
        <f t="shared" si="707"/>
        <v>0</v>
      </c>
      <c r="M1624" s="35">
        <v>0</v>
      </c>
    </row>
    <row r="1625" spans="1:13" s="92" customFormat="1" ht="39" customHeight="1">
      <c r="A1625" s="59" t="s">
        <v>1257</v>
      </c>
      <c r="B1625" s="28" t="s">
        <v>664</v>
      </c>
      <c r="C1625" s="28" t="s">
        <v>19</v>
      </c>
      <c r="D1625" s="28" t="s">
        <v>130</v>
      </c>
      <c r="E1625" s="29" t="s">
        <v>1256</v>
      </c>
      <c r="F1625" s="58"/>
      <c r="G1625" s="35"/>
      <c r="H1625" s="35">
        <f>H1626</f>
        <v>1600</v>
      </c>
      <c r="I1625" s="35">
        <f t="shared" ref="I1625:K1626" si="735">I1626</f>
        <v>0</v>
      </c>
      <c r="J1625" s="35">
        <f t="shared" si="735"/>
        <v>0</v>
      </c>
      <c r="K1625" s="35">
        <f t="shared" si="735"/>
        <v>0</v>
      </c>
      <c r="L1625" s="35">
        <f t="shared" si="707"/>
        <v>0</v>
      </c>
      <c r="M1625" s="35">
        <v>0</v>
      </c>
    </row>
    <row r="1626" spans="1:13" s="92" customFormat="1">
      <c r="A1626" s="59" t="s">
        <v>26</v>
      </c>
      <c r="B1626" s="28" t="s">
        <v>664</v>
      </c>
      <c r="C1626" s="28" t="s">
        <v>19</v>
      </c>
      <c r="D1626" s="28" t="s">
        <v>130</v>
      </c>
      <c r="E1626" s="29" t="s">
        <v>1256</v>
      </c>
      <c r="F1626" s="58">
        <v>500</v>
      </c>
      <c r="G1626" s="35"/>
      <c r="H1626" s="35">
        <f>H1627</f>
        <v>1600</v>
      </c>
      <c r="I1626" s="35">
        <f t="shared" si="735"/>
        <v>0</v>
      </c>
      <c r="J1626" s="35">
        <f t="shared" si="735"/>
        <v>0</v>
      </c>
      <c r="K1626" s="35">
        <f t="shared" si="735"/>
        <v>0</v>
      </c>
      <c r="L1626" s="35">
        <f t="shared" si="707"/>
        <v>0</v>
      </c>
      <c r="M1626" s="35">
        <v>0</v>
      </c>
    </row>
    <row r="1627" spans="1:13" s="92" customFormat="1">
      <c r="A1627" s="59" t="s">
        <v>56</v>
      </c>
      <c r="B1627" s="28" t="s">
        <v>664</v>
      </c>
      <c r="C1627" s="28" t="s">
        <v>19</v>
      </c>
      <c r="D1627" s="28" t="s">
        <v>130</v>
      </c>
      <c r="E1627" s="29" t="s">
        <v>1256</v>
      </c>
      <c r="F1627" s="58">
        <v>520</v>
      </c>
      <c r="G1627" s="35"/>
      <c r="H1627" s="35">
        <v>1600</v>
      </c>
      <c r="I1627" s="35">
        <v>0</v>
      </c>
      <c r="J1627" s="35">
        <v>0</v>
      </c>
      <c r="K1627" s="35">
        <v>0</v>
      </c>
      <c r="L1627" s="35">
        <f t="shared" si="707"/>
        <v>0</v>
      </c>
      <c r="M1627" s="35">
        <v>0</v>
      </c>
    </row>
    <row r="1628" spans="1:13" s="92" customFormat="1" ht="41.25" customHeight="1">
      <c r="A1628" s="59" t="s">
        <v>1116</v>
      </c>
      <c r="B1628" s="28" t="s">
        <v>664</v>
      </c>
      <c r="C1628" s="28" t="s">
        <v>19</v>
      </c>
      <c r="D1628" s="28" t="s">
        <v>130</v>
      </c>
      <c r="E1628" s="29" t="s">
        <v>1115</v>
      </c>
      <c r="F1628" s="58"/>
      <c r="G1628" s="35"/>
      <c r="H1628" s="35">
        <f>H1629</f>
        <v>1432</v>
      </c>
      <c r="I1628" s="35">
        <f t="shared" ref="I1628:K1629" si="736">I1629</f>
        <v>0</v>
      </c>
      <c r="J1628" s="35">
        <f t="shared" si="736"/>
        <v>0</v>
      </c>
      <c r="K1628" s="35">
        <f t="shared" si="736"/>
        <v>0</v>
      </c>
      <c r="L1628" s="35">
        <f t="shared" si="707"/>
        <v>0</v>
      </c>
      <c r="M1628" s="35">
        <v>0</v>
      </c>
    </row>
    <row r="1629" spans="1:13" s="92" customFormat="1">
      <c r="A1629" s="59" t="s">
        <v>26</v>
      </c>
      <c r="B1629" s="28" t="s">
        <v>664</v>
      </c>
      <c r="C1629" s="28" t="s">
        <v>19</v>
      </c>
      <c r="D1629" s="28" t="s">
        <v>130</v>
      </c>
      <c r="E1629" s="29" t="s">
        <v>1115</v>
      </c>
      <c r="F1629" s="58">
        <v>500</v>
      </c>
      <c r="G1629" s="35"/>
      <c r="H1629" s="35">
        <f>H1630</f>
        <v>1432</v>
      </c>
      <c r="I1629" s="35">
        <f t="shared" si="736"/>
        <v>0</v>
      </c>
      <c r="J1629" s="35">
        <f t="shared" si="736"/>
        <v>0</v>
      </c>
      <c r="K1629" s="35">
        <f t="shared" si="736"/>
        <v>0</v>
      </c>
      <c r="L1629" s="35">
        <f t="shared" si="707"/>
        <v>0</v>
      </c>
      <c r="M1629" s="35">
        <v>0</v>
      </c>
    </row>
    <row r="1630" spans="1:13" s="92" customFormat="1">
      <c r="A1630" s="59" t="s">
        <v>56</v>
      </c>
      <c r="B1630" s="28" t="s">
        <v>664</v>
      </c>
      <c r="C1630" s="28" t="s">
        <v>19</v>
      </c>
      <c r="D1630" s="28" t="s">
        <v>130</v>
      </c>
      <c r="E1630" s="29" t="s">
        <v>1115</v>
      </c>
      <c r="F1630" s="58">
        <v>520</v>
      </c>
      <c r="G1630" s="35"/>
      <c r="H1630" s="35">
        <v>1432</v>
      </c>
      <c r="I1630" s="35">
        <v>0</v>
      </c>
      <c r="J1630" s="35">
        <v>0</v>
      </c>
      <c r="K1630" s="35">
        <v>0</v>
      </c>
      <c r="L1630" s="35">
        <f t="shared" si="707"/>
        <v>0</v>
      </c>
      <c r="M1630" s="35">
        <v>0</v>
      </c>
    </row>
    <row r="1631" spans="1:13" ht="38.25">
      <c r="A1631" s="59" t="s">
        <v>357</v>
      </c>
      <c r="B1631" s="28" t="s">
        <v>664</v>
      </c>
      <c r="C1631" s="28" t="s">
        <v>19</v>
      </c>
      <c r="D1631" s="28" t="s">
        <v>130</v>
      </c>
      <c r="E1631" s="28" t="s">
        <v>358</v>
      </c>
      <c r="F1631" s="58" t="s">
        <v>0</v>
      </c>
      <c r="G1631" s="35">
        <f>G1632</f>
        <v>1432</v>
      </c>
      <c r="H1631" s="35">
        <f t="shared" si="733"/>
        <v>0</v>
      </c>
      <c r="I1631" s="35">
        <f t="shared" si="733"/>
        <v>0</v>
      </c>
      <c r="J1631" s="35">
        <f t="shared" si="733"/>
        <v>0</v>
      </c>
      <c r="K1631" s="35">
        <f t="shared" si="733"/>
        <v>0</v>
      </c>
      <c r="L1631" s="35">
        <v>0</v>
      </c>
      <c r="M1631" s="35">
        <v>0</v>
      </c>
    </row>
    <row r="1632" spans="1:13">
      <c r="A1632" s="59" t="s">
        <v>26</v>
      </c>
      <c r="B1632" s="28" t="s">
        <v>664</v>
      </c>
      <c r="C1632" s="28" t="s">
        <v>19</v>
      </c>
      <c r="D1632" s="28" t="s">
        <v>130</v>
      </c>
      <c r="E1632" s="28" t="s">
        <v>358</v>
      </c>
      <c r="F1632" s="28" t="s">
        <v>27</v>
      </c>
      <c r="G1632" s="35">
        <f>G1633</f>
        <v>1432</v>
      </c>
      <c r="H1632" s="35">
        <f t="shared" si="733"/>
        <v>0</v>
      </c>
      <c r="I1632" s="35">
        <f t="shared" si="733"/>
        <v>0</v>
      </c>
      <c r="J1632" s="35">
        <f t="shared" si="733"/>
        <v>0</v>
      </c>
      <c r="K1632" s="35">
        <f t="shared" si="733"/>
        <v>0</v>
      </c>
      <c r="L1632" s="35">
        <v>0</v>
      </c>
      <c r="M1632" s="35">
        <v>0</v>
      </c>
    </row>
    <row r="1633" spans="1:13">
      <c r="A1633" s="59" t="s">
        <v>56</v>
      </c>
      <c r="B1633" s="28" t="s">
        <v>664</v>
      </c>
      <c r="C1633" s="28" t="s">
        <v>19</v>
      </c>
      <c r="D1633" s="28" t="s">
        <v>130</v>
      </c>
      <c r="E1633" s="28" t="s">
        <v>358</v>
      </c>
      <c r="F1633" s="28" t="s">
        <v>57</v>
      </c>
      <c r="G1633" s="35">
        <v>1432</v>
      </c>
      <c r="H1633" s="35">
        <v>0</v>
      </c>
      <c r="I1633" s="35">
        <v>0</v>
      </c>
      <c r="J1633" s="35">
        <v>0</v>
      </c>
      <c r="K1633" s="35">
        <v>0</v>
      </c>
      <c r="L1633" s="35">
        <v>0</v>
      </c>
      <c r="M1633" s="35">
        <v>0</v>
      </c>
    </row>
    <row r="1634" spans="1:13" ht="38.25">
      <c r="A1634" s="59" t="s">
        <v>665</v>
      </c>
      <c r="B1634" s="28" t="s">
        <v>664</v>
      </c>
      <c r="C1634" s="28" t="s">
        <v>19</v>
      </c>
      <c r="D1634" s="28" t="s">
        <v>130</v>
      </c>
      <c r="E1634" s="28" t="s">
        <v>666</v>
      </c>
      <c r="F1634" s="58" t="s">
        <v>0</v>
      </c>
      <c r="G1634" s="35">
        <f>G1635+G1648+G1652</f>
        <v>503169.9</v>
      </c>
      <c r="H1634" s="35">
        <f t="shared" ref="H1634:K1634" si="737">H1635+H1648+H1652</f>
        <v>531235.14208000002</v>
      </c>
      <c r="I1634" s="35">
        <f t="shared" si="737"/>
        <v>386215.56706999993</v>
      </c>
      <c r="J1634" s="35">
        <f t="shared" si="737"/>
        <v>386215.56706999993</v>
      </c>
      <c r="K1634" s="35">
        <f t="shared" si="737"/>
        <v>380891.81516999996</v>
      </c>
      <c r="L1634" s="35">
        <f t="shared" si="707"/>
        <v>71.699288130422772</v>
      </c>
      <c r="M1634" s="35">
        <f t="shared" si="708"/>
        <v>98.621559472501772</v>
      </c>
    </row>
    <row r="1635" spans="1:13" ht="25.5">
      <c r="A1635" s="59" t="s">
        <v>672</v>
      </c>
      <c r="B1635" s="28" t="s">
        <v>664</v>
      </c>
      <c r="C1635" s="28" t="s">
        <v>19</v>
      </c>
      <c r="D1635" s="28" t="s">
        <v>130</v>
      </c>
      <c r="E1635" s="28" t="s">
        <v>673</v>
      </c>
      <c r="F1635" s="58" t="s">
        <v>0</v>
      </c>
      <c r="G1635" s="35">
        <f>G1636+G1639+G1642+G1645</f>
        <v>484047.30000000005</v>
      </c>
      <c r="H1635" s="35">
        <f t="shared" ref="H1635:K1635" si="738">H1636+H1639+H1642+H1645</f>
        <v>483324.03922999999</v>
      </c>
      <c r="I1635" s="35">
        <f t="shared" si="738"/>
        <v>346257.39276999998</v>
      </c>
      <c r="J1635" s="35">
        <f t="shared" si="738"/>
        <v>346257.39276999998</v>
      </c>
      <c r="K1635" s="35">
        <f t="shared" si="738"/>
        <v>345135.41446</v>
      </c>
      <c r="L1635" s="35">
        <f t="shared" ref="L1635:L1698" si="739">K1635/H1635*100</f>
        <v>71.408700260356795</v>
      </c>
      <c r="M1635" s="35">
        <f t="shared" ref="M1635:M1698" si="740">K1635/I1635*100</f>
        <v>99.675969861314911</v>
      </c>
    </row>
    <row r="1636" spans="1:13" ht="51">
      <c r="A1636" s="59" t="s">
        <v>674</v>
      </c>
      <c r="B1636" s="28" t="s">
        <v>664</v>
      </c>
      <c r="C1636" s="28" t="s">
        <v>19</v>
      </c>
      <c r="D1636" s="28" t="s">
        <v>130</v>
      </c>
      <c r="E1636" s="28" t="s">
        <v>675</v>
      </c>
      <c r="F1636" s="58" t="s">
        <v>0</v>
      </c>
      <c r="G1636" s="35">
        <f>G1637</f>
        <v>80899.899999999994</v>
      </c>
      <c r="H1636" s="35">
        <f t="shared" ref="H1636:K1637" si="741">H1637</f>
        <v>80899.899999999994</v>
      </c>
      <c r="I1636" s="35">
        <f t="shared" si="741"/>
        <v>53693.048999999999</v>
      </c>
      <c r="J1636" s="35">
        <f t="shared" si="741"/>
        <v>53693.048999999999</v>
      </c>
      <c r="K1636" s="35">
        <f t="shared" si="741"/>
        <v>53693.048999999999</v>
      </c>
      <c r="L1636" s="35">
        <f t="shared" si="739"/>
        <v>66.369734696829056</v>
      </c>
      <c r="M1636" s="35">
        <f t="shared" si="740"/>
        <v>100</v>
      </c>
    </row>
    <row r="1637" spans="1:13">
      <c r="A1637" s="59" t="s">
        <v>72</v>
      </c>
      <c r="B1637" s="28" t="s">
        <v>664</v>
      </c>
      <c r="C1637" s="28" t="s">
        <v>19</v>
      </c>
      <c r="D1637" s="28" t="s">
        <v>130</v>
      </c>
      <c r="E1637" s="28" t="s">
        <v>675</v>
      </c>
      <c r="F1637" s="28" t="s">
        <v>73</v>
      </c>
      <c r="G1637" s="35">
        <f>G1638</f>
        <v>80899.899999999994</v>
      </c>
      <c r="H1637" s="35">
        <f t="shared" si="741"/>
        <v>80899.899999999994</v>
      </c>
      <c r="I1637" s="35">
        <f t="shared" si="741"/>
        <v>53693.048999999999</v>
      </c>
      <c r="J1637" s="35">
        <f t="shared" si="741"/>
        <v>53693.048999999999</v>
      </c>
      <c r="K1637" s="35">
        <f t="shared" si="741"/>
        <v>53693.048999999999</v>
      </c>
      <c r="L1637" s="35">
        <f t="shared" si="739"/>
        <v>66.369734696829056</v>
      </c>
      <c r="M1637" s="35">
        <f t="shared" si="740"/>
        <v>100</v>
      </c>
    </row>
    <row r="1638" spans="1:13" ht="51">
      <c r="A1638" s="59" t="s">
        <v>218</v>
      </c>
      <c r="B1638" s="28" t="s">
        <v>664</v>
      </c>
      <c r="C1638" s="28" t="s">
        <v>19</v>
      </c>
      <c r="D1638" s="28" t="s">
        <v>130</v>
      </c>
      <c r="E1638" s="28" t="s">
        <v>675</v>
      </c>
      <c r="F1638" s="28" t="s">
        <v>219</v>
      </c>
      <c r="G1638" s="35">
        <v>80899.899999999994</v>
      </c>
      <c r="H1638" s="35">
        <v>80899.899999999994</v>
      </c>
      <c r="I1638" s="35">
        <v>53693.048999999999</v>
      </c>
      <c r="J1638" s="35">
        <v>53693.048999999999</v>
      </c>
      <c r="K1638" s="35">
        <v>53693.048999999999</v>
      </c>
      <c r="L1638" s="35">
        <f t="shared" si="739"/>
        <v>66.369734696829056</v>
      </c>
      <c r="M1638" s="35">
        <f t="shared" si="740"/>
        <v>100</v>
      </c>
    </row>
    <row r="1639" spans="1:13" ht="51">
      <c r="A1639" s="59" t="s">
        <v>676</v>
      </c>
      <c r="B1639" s="28" t="s">
        <v>664</v>
      </c>
      <c r="C1639" s="28" t="s">
        <v>19</v>
      </c>
      <c r="D1639" s="28" t="s">
        <v>130</v>
      </c>
      <c r="E1639" s="28" t="s">
        <v>677</v>
      </c>
      <c r="F1639" s="58" t="s">
        <v>0</v>
      </c>
      <c r="G1639" s="36">
        <f>G1640</f>
        <v>99183.5</v>
      </c>
      <c r="H1639" s="36">
        <f t="shared" ref="H1639:K1640" si="742">H1640</f>
        <v>98460.239230000007</v>
      </c>
      <c r="I1639" s="36">
        <f t="shared" si="742"/>
        <v>62684.536169999999</v>
      </c>
      <c r="J1639" s="36">
        <f t="shared" si="742"/>
        <v>62684.536169999999</v>
      </c>
      <c r="K1639" s="36">
        <f t="shared" si="742"/>
        <v>61562.557860000001</v>
      </c>
      <c r="L1639" s="35">
        <f t="shared" si="739"/>
        <v>62.525297867895503</v>
      </c>
      <c r="M1639" s="35">
        <f t="shared" si="740"/>
        <v>98.210119467172575</v>
      </c>
    </row>
    <row r="1640" spans="1:13">
      <c r="A1640" s="59" t="s">
        <v>72</v>
      </c>
      <c r="B1640" s="28" t="s">
        <v>664</v>
      </c>
      <c r="C1640" s="28" t="s">
        <v>19</v>
      </c>
      <c r="D1640" s="28" t="s">
        <v>130</v>
      </c>
      <c r="E1640" s="28" t="s">
        <v>677</v>
      </c>
      <c r="F1640" s="28" t="s">
        <v>73</v>
      </c>
      <c r="G1640" s="35">
        <f>G1641</f>
        <v>99183.5</v>
      </c>
      <c r="H1640" s="35">
        <f t="shared" si="742"/>
        <v>98460.239230000007</v>
      </c>
      <c r="I1640" s="35">
        <f t="shared" si="742"/>
        <v>62684.536169999999</v>
      </c>
      <c r="J1640" s="35">
        <f t="shared" si="742"/>
        <v>62684.536169999999</v>
      </c>
      <c r="K1640" s="35">
        <f t="shared" si="742"/>
        <v>61562.557860000001</v>
      </c>
      <c r="L1640" s="35">
        <f t="shared" si="739"/>
        <v>62.525297867895503</v>
      </c>
      <c r="M1640" s="35">
        <f t="shared" si="740"/>
        <v>98.210119467172575</v>
      </c>
    </row>
    <row r="1641" spans="1:13" ht="51">
      <c r="A1641" s="59" t="s">
        <v>218</v>
      </c>
      <c r="B1641" s="28" t="s">
        <v>664</v>
      </c>
      <c r="C1641" s="28" t="s">
        <v>19</v>
      </c>
      <c r="D1641" s="28" t="s">
        <v>130</v>
      </c>
      <c r="E1641" s="28" t="s">
        <v>677</v>
      </c>
      <c r="F1641" s="28" t="s">
        <v>219</v>
      </c>
      <c r="G1641" s="35">
        <v>99183.5</v>
      </c>
      <c r="H1641" s="35">
        <v>98460.239230000007</v>
      </c>
      <c r="I1641" s="35">
        <v>62684.536169999999</v>
      </c>
      <c r="J1641" s="35">
        <v>62684.536169999999</v>
      </c>
      <c r="K1641" s="35">
        <v>61562.557860000001</v>
      </c>
      <c r="L1641" s="35">
        <f t="shared" si="739"/>
        <v>62.525297867895503</v>
      </c>
      <c r="M1641" s="35">
        <f t="shared" si="740"/>
        <v>98.210119467172575</v>
      </c>
    </row>
    <row r="1642" spans="1:13" ht="76.5">
      <c r="A1642" s="59" t="s">
        <v>678</v>
      </c>
      <c r="B1642" s="28" t="s">
        <v>664</v>
      </c>
      <c r="C1642" s="28" t="s">
        <v>19</v>
      </c>
      <c r="D1642" s="28" t="s">
        <v>130</v>
      </c>
      <c r="E1642" s="28" t="s">
        <v>679</v>
      </c>
      <c r="F1642" s="58" t="s">
        <v>0</v>
      </c>
      <c r="G1642" s="35">
        <f>G1643</f>
        <v>298069</v>
      </c>
      <c r="H1642" s="35">
        <f t="shared" ref="H1642:K1643" si="743">H1643</f>
        <v>298069</v>
      </c>
      <c r="I1642" s="35">
        <f t="shared" si="743"/>
        <v>226186.13269999999</v>
      </c>
      <c r="J1642" s="35">
        <f t="shared" si="743"/>
        <v>226186.13269999999</v>
      </c>
      <c r="K1642" s="35">
        <f t="shared" si="743"/>
        <v>226186.13269999999</v>
      </c>
      <c r="L1642" s="35">
        <f t="shared" si="739"/>
        <v>75.883816398216524</v>
      </c>
      <c r="M1642" s="35">
        <f t="shared" si="740"/>
        <v>100</v>
      </c>
    </row>
    <row r="1643" spans="1:13">
      <c r="A1643" s="59" t="s">
        <v>72</v>
      </c>
      <c r="B1643" s="28" t="s">
        <v>664</v>
      </c>
      <c r="C1643" s="28" t="s">
        <v>19</v>
      </c>
      <c r="D1643" s="28" t="s">
        <v>130</v>
      </c>
      <c r="E1643" s="28" t="s">
        <v>679</v>
      </c>
      <c r="F1643" s="28" t="s">
        <v>73</v>
      </c>
      <c r="G1643" s="35">
        <f>G1644</f>
        <v>298069</v>
      </c>
      <c r="H1643" s="35">
        <f t="shared" si="743"/>
        <v>298069</v>
      </c>
      <c r="I1643" s="35">
        <f t="shared" si="743"/>
        <v>226186.13269999999</v>
      </c>
      <c r="J1643" s="35">
        <f t="shared" si="743"/>
        <v>226186.13269999999</v>
      </c>
      <c r="K1643" s="35">
        <f t="shared" si="743"/>
        <v>226186.13269999999</v>
      </c>
      <c r="L1643" s="35">
        <f t="shared" si="739"/>
        <v>75.883816398216524</v>
      </c>
      <c r="M1643" s="35">
        <f t="shared" si="740"/>
        <v>100</v>
      </c>
    </row>
    <row r="1644" spans="1:13" ht="51">
      <c r="A1644" s="59" t="s">
        <v>218</v>
      </c>
      <c r="B1644" s="28" t="s">
        <v>664</v>
      </c>
      <c r="C1644" s="28" t="s">
        <v>19</v>
      </c>
      <c r="D1644" s="28" t="s">
        <v>130</v>
      </c>
      <c r="E1644" s="28" t="s">
        <v>679</v>
      </c>
      <c r="F1644" s="28" t="s">
        <v>219</v>
      </c>
      <c r="G1644" s="35">
        <v>298069</v>
      </c>
      <c r="H1644" s="35">
        <v>298069</v>
      </c>
      <c r="I1644" s="35">
        <v>226186.13269999999</v>
      </c>
      <c r="J1644" s="35">
        <v>226186.13269999999</v>
      </c>
      <c r="K1644" s="35">
        <v>226186.13269999999</v>
      </c>
      <c r="L1644" s="35">
        <f t="shared" si="739"/>
        <v>75.883816398216524</v>
      </c>
      <c r="M1644" s="35">
        <f t="shared" si="740"/>
        <v>100</v>
      </c>
    </row>
    <row r="1645" spans="1:13" ht="127.5">
      <c r="A1645" s="59" t="s">
        <v>680</v>
      </c>
      <c r="B1645" s="28" t="s">
        <v>664</v>
      </c>
      <c r="C1645" s="28" t="s">
        <v>19</v>
      </c>
      <c r="D1645" s="28" t="s">
        <v>130</v>
      </c>
      <c r="E1645" s="28" t="s">
        <v>681</v>
      </c>
      <c r="F1645" s="58" t="s">
        <v>0</v>
      </c>
      <c r="G1645" s="35">
        <f>G1646</f>
        <v>5894.9</v>
      </c>
      <c r="H1645" s="35">
        <f t="shared" ref="H1645:K1646" si="744">H1646</f>
        <v>5894.9</v>
      </c>
      <c r="I1645" s="35">
        <f t="shared" si="744"/>
        <v>3693.6749</v>
      </c>
      <c r="J1645" s="35">
        <f t="shared" si="744"/>
        <v>3693.6749</v>
      </c>
      <c r="K1645" s="35">
        <f t="shared" si="744"/>
        <v>3693.6749</v>
      </c>
      <c r="L1645" s="35">
        <f t="shared" si="739"/>
        <v>62.658822032604455</v>
      </c>
      <c r="M1645" s="35">
        <f t="shared" si="740"/>
        <v>100</v>
      </c>
    </row>
    <row r="1646" spans="1:13">
      <c r="A1646" s="59" t="s">
        <v>72</v>
      </c>
      <c r="B1646" s="28" t="s">
        <v>664</v>
      </c>
      <c r="C1646" s="28" t="s">
        <v>19</v>
      </c>
      <c r="D1646" s="28" t="s">
        <v>130</v>
      </c>
      <c r="E1646" s="28" t="s">
        <v>681</v>
      </c>
      <c r="F1646" s="28" t="s">
        <v>73</v>
      </c>
      <c r="G1646" s="35">
        <f>G1647</f>
        <v>5894.9</v>
      </c>
      <c r="H1646" s="35">
        <f t="shared" si="744"/>
        <v>5894.9</v>
      </c>
      <c r="I1646" s="35">
        <f t="shared" si="744"/>
        <v>3693.6749</v>
      </c>
      <c r="J1646" s="35">
        <f t="shared" si="744"/>
        <v>3693.6749</v>
      </c>
      <c r="K1646" s="35">
        <f t="shared" si="744"/>
        <v>3693.6749</v>
      </c>
      <c r="L1646" s="35">
        <f t="shared" si="739"/>
        <v>62.658822032604455</v>
      </c>
      <c r="M1646" s="35">
        <f t="shared" si="740"/>
        <v>100</v>
      </c>
    </row>
    <row r="1647" spans="1:13" ht="51">
      <c r="A1647" s="59" t="s">
        <v>218</v>
      </c>
      <c r="B1647" s="28" t="s">
        <v>664</v>
      </c>
      <c r="C1647" s="28" t="s">
        <v>19</v>
      </c>
      <c r="D1647" s="28" t="s">
        <v>130</v>
      </c>
      <c r="E1647" s="28" t="s">
        <v>681</v>
      </c>
      <c r="F1647" s="28" t="s">
        <v>219</v>
      </c>
      <c r="G1647" s="35">
        <v>5894.9</v>
      </c>
      <c r="H1647" s="35">
        <v>5894.9</v>
      </c>
      <c r="I1647" s="35">
        <v>3693.6749</v>
      </c>
      <c r="J1647" s="35">
        <v>3693.6749</v>
      </c>
      <c r="K1647" s="35">
        <v>3693.6749</v>
      </c>
      <c r="L1647" s="35">
        <f t="shared" si="739"/>
        <v>62.658822032604455</v>
      </c>
      <c r="M1647" s="35">
        <f t="shared" si="740"/>
        <v>100</v>
      </c>
    </row>
    <row r="1648" spans="1:13" ht="38.25">
      <c r="A1648" s="59" t="s">
        <v>682</v>
      </c>
      <c r="B1648" s="28" t="s">
        <v>664</v>
      </c>
      <c r="C1648" s="28" t="s">
        <v>19</v>
      </c>
      <c r="D1648" s="28" t="s">
        <v>130</v>
      </c>
      <c r="E1648" s="28" t="s">
        <v>683</v>
      </c>
      <c r="F1648" s="58" t="s">
        <v>0</v>
      </c>
      <c r="G1648" s="35">
        <f>G1649</f>
        <v>3101.6</v>
      </c>
      <c r="H1648" s="35">
        <f t="shared" ref="H1648:K1650" si="745">H1649</f>
        <v>3101.6</v>
      </c>
      <c r="I1648" s="35">
        <f t="shared" si="745"/>
        <v>3101.6</v>
      </c>
      <c r="J1648" s="35">
        <f t="shared" si="745"/>
        <v>3101.6</v>
      </c>
      <c r="K1648" s="35">
        <f t="shared" si="745"/>
        <v>3101.6</v>
      </c>
      <c r="L1648" s="35">
        <f t="shared" si="739"/>
        <v>100</v>
      </c>
      <c r="M1648" s="35">
        <f t="shared" si="740"/>
        <v>100</v>
      </c>
    </row>
    <row r="1649" spans="1:13" ht="25.5">
      <c r="A1649" s="59" t="s">
        <v>684</v>
      </c>
      <c r="B1649" s="28" t="s">
        <v>664</v>
      </c>
      <c r="C1649" s="28" t="s">
        <v>19</v>
      </c>
      <c r="D1649" s="28" t="s">
        <v>130</v>
      </c>
      <c r="E1649" s="28" t="s">
        <v>685</v>
      </c>
      <c r="F1649" s="58" t="s">
        <v>0</v>
      </c>
      <c r="G1649" s="35">
        <f>G1650</f>
        <v>3101.6</v>
      </c>
      <c r="H1649" s="35">
        <f t="shared" si="745"/>
        <v>3101.6</v>
      </c>
      <c r="I1649" s="35">
        <f t="shared" si="745"/>
        <v>3101.6</v>
      </c>
      <c r="J1649" s="35">
        <f t="shared" si="745"/>
        <v>3101.6</v>
      </c>
      <c r="K1649" s="35">
        <f t="shared" si="745"/>
        <v>3101.6</v>
      </c>
      <c r="L1649" s="35">
        <f t="shared" si="739"/>
        <v>100</v>
      </c>
      <c r="M1649" s="35">
        <f t="shared" si="740"/>
        <v>100</v>
      </c>
    </row>
    <row r="1650" spans="1:13">
      <c r="A1650" s="59" t="s">
        <v>26</v>
      </c>
      <c r="B1650" s="28" t="s">
        <v>664</v>
      </c>
      <c r="C1650" s="28" t="s">
        <v>19</v>
      </c>
      <c r="D1650" s="28" t="s">
        <v>130</v>
      </c>
      <c r="E1650" s="28" t="s">
        <v>685</v>
      </c>
      <c r="F1650" s="28" t="s">
        <v>27</v>
      </c>
      <c r="G1650" s="35">
        <f>G1651</f>
        <v>3101.6</v>
      </c>
      <c r="H1650" s="35">
        <f t="shared" si="745"/>
        <v>3101.6</v>
      </c>
      <c r="I1650" s="35">
        <f t="shared" si="745"/>
        <v>3101.6</v>
      </c>
      <c r="J1650" s="35">
        <f t="shared" si="745"/>
        <v>3101.6</v>
      </c>
      <c r="K1650" s="35">
        <f t="shared" si="745"/>
        <v>3101.6</v>
      </c>
      <c r="L1650" s="35">
        <f t="shared" si="739"/>
        <v>100</v>
      </c>
      <c r="M1650" s="35">
        <f t="shared" si="740"/>
        <v>100</v>
      </c>
    </row>
    <row r="1651" spans="1:13">
      <c r="A1651" s="59" t="s">
        <v>56</v>
      </c>
      <c r="B1651" s="28" t="s">
        <v>664</v>
      </c>
      <c r="C1651" s="28" t="s">
        <v>19</v>
      </c>
      <c r="D1651" s="28" t="s">
        <v>130</v>
      </c>
      <c r="E1651" s="28" t="s">
        <v>685</v>
      </c>
      <c r="F1651" s="28" t="s">
        <v>57</v>
      </c>
      <c r="G1651" s="35">
        <v>3101.6</v>
      </c>
      <c r="H1651" s="35">
        <v>3101.6</v>
      </c>
      <c r="I1651" s="35">
        <v>3101.6</v>
      </c>
      <c r="J1651" s="35">
        <v>3101.6</v>
      </c>
      <c r="K1651" s="35">
        <v>3101.6</v>
      </c>
      <c r="L1651" s="35">
        <f t="shared" si="739"/>
        <v>100</v>
      </c>
      <c r="M1651" s="35">
        <f t="shared" si="740"/>
        <v>100</v>
      </c>
    </row>
    <row r="1652" spans="1:13" ht="38.25">
      <c r="A1652" s="59" t="s">
        <v>667</v>
      </c>
      <c r="B1652" s="28" t="s">
        <v>664</v>
      </c>
      <c r="C1652" s="28" t="s">
        <v>19</v>
      </c>
      <c r="D1652" s="28" t="s">
        <v>130</v>
      </c>
      <c r="E1652" s="28" t="s">
        <v>668</v>
      </c>
      <c r="F1652" s="58" t="s">
        <v>0</v>
      </c>
      <c r="G1652" s="35">
        <f>G1653</f>
        <v>16021</v>
      </c>
      <c r="H1652" s="35">
        <f t="shared" ref="H1652:K1652" si="746">H1653</f>
        <v>44809.502849999997</v>
      </c>
      <c r="I1652" s="35">
        <f t="shared" si="746"/>
        <v>36856.5743</v>
      </c>
      <c r="J1652" s="35">
        <f t="shared" si="746"/>
        <v>36856.5743</v>
      </c>
      <c r="K1652" s="35">
        <f t="shared" si="746"/>
        <v>32654.80071</v>
      </c>
      <c r="L1652" s="35">
        <f t="shared" si="739"/>
        <v>72.874722175142367</v>
      </c>
      <c r="M1652" s="35">
        <f t="shared" si="740"/>
        <v>88.5996632356578</v>
      </c>
    </row>
    <row r="1653" spans="1:13" ht="25.5">
      <c r="A1653" s="59" t="s">
        <v>58</v>
      </c>
      <c r="B1653" s="28" t="s">
        <v>664</v>
      </c>
      <c r="C1653" s="28" t="s">
        <v>19</v>
      </c>
      <c r="D1653" s="28" t="s">
        <v>130</v>
      </c>
      <c r="E1653" s="28" t="s">
        <v>686</v>
      </c>
      <c r="F1653" s="58" t="s">
        <v>0</v>
      </c>
      <c r="G1653" s="35">
        <f>G1654+G1656+G1658+G1660</f>
        <v>16021</v>
      </c>
      <c r="H1653" s="35">
        <f t="shared" ref="H1653:K1653" si="747">H1654+H1656+H1658+H1660</f>
        <v>44809.502849999997</v>
      </c>
      <c r="I1653" s="35">
        <f t="shared" si="747"/>
        <v>36856.5743</v>
      </c>
      <c r="J1653" s="35">
        <f t="shared" si="747"/>
        <v>36856.5743</v>
      </c>
      <c r="K1653" s="35">
        <f t="shared" si="747"/>
        <v>32654.80071</v>
      </c>
      <c r="L1653" s="35">
        <f t="shared" si="739"/>
        <v>72.874722175142367</v>
      </c>
      <c r="M1653" s="35">
        <f t="shared" si="740"/>
        <v>88.5996632356578</v>
      </c>
    </row>
    <row r="1654" spans="1:13" ht="63.75">
      <c r="A1654" s="59" t="s">
        <v>60</v>
      </c>
      <c r="B1654" s="28" t="s">
        <v>664</v>
      </c>
      <c r="C1654" s="28" t="s">
        <v>19</v>
      </c>
      <c r="D1654" s="28" t="s">
        <v>130</v>
      </c>
      <c r="E1654" s="28" t="s">
        <v>686</v>
      </c>
      <c r="F1654" s="28" t="s">
        <v>61</v>
      </c>
      <c r="G1654" s="35">
        <f>G1655</f>
        <v>15437.1</v>
      </c>
      <c r="H1654" s="35">
        <f t="shared" ref="H1654:K1654" si="748">H1655</f>
        <v>40827.09996</v>
      </c>
      <c r="I1654" s="35">
        <f t="shared" si="748"/>
        <v>33683.820719999996</v>
      </c>
      <c r="J1654" s="35">
        <f t="shared" si="748"/>
        <v>33683.820719999996</v>
      </c>
      <c r="K1654" s="35">
        <f t="shared" si="748"/>
        <v>29646.802199999998</v>
      </c>
      <c r="L1654" s="35">
        <f t="shared" si="739"/>
        <v>72.615498600307632</v>
      </c>
      <c r="M1654" s="35">
        <f t="shared" si="740"/>
        <v>88.014962573402514</v>
      </c>
    </row>
    <row r="1655" spans="1:13" ht="25.5">
      <c r="A1655" s="59" t="s">
        <v>62</v>
      </c>
      <c r="B1655" s="28" t="s">
        <v>664</v>
      </c>
      <c r="C1655" s="28" t="s">
        <v>19</v>
      </c>
      <c r="D1655" s="28" t="s">
        <v>130</v>
      </c>
      <c r="E1655" s="28" t="s">
        <v>686</v>
      </c>
      <c r="F1655" s="28" t="s">
        <v>63</v>
      </c>
      <c r="G1655" s="35">
        <v>15437.1</v>
      </c>
      <c r="H1655" s="35">
        <f>30477.01663+1424+8926.08333</f>
        <v>40827.09996</v>
      </c>
      <c r="I1655" s="35">
        <f>25588.77411+1220.5+6874.54661</f>
        <v>33683.820719999996</v>
      </c>
      <c r="J1655" s="35">
        <f>25588.77411+1220.5+6874.54661</f>
        <v>33683.820719999996</v>
      </c>
      <c r="K1655" s="35">
        <f>22648.07732+1220.5+5778.22488</f>
        <v>29646.802199999998</v>
      </c>
      <c r="L1655" s="35">
        <f t="shared" si="739"/>
        <v>72.615498600307632</v>
      </c>
      <c r="M1655" s="35">
        <f t="shared" si="740"/>
        <v>88.014962573402514</v>
      </c>
    </row>
    <row r="1656" spans="1:13" ht="25.5">
      <c r="A1656" s="59" t="s">
        <v>64</v>
      </c>
      <c r="B1656" s="28" t="s">
        <v>664</v>
      </c>
      <c r="C1656" s="28" t="s">
        <v>19</v>
      </c>
      <c r="D1656" s="28" t="s">
        <v>130</v>
      </c>
      <c r="E1656" s="28" t="s">
        <v>686</v>
      </c>
      <c r="F1656" s="28" t="s">
        <v>65</v>
      </c>
      <c r="G1656" s="35">
        <f>G1657</f>
        <v>400.5</v>
      </c>
      <c r="H1656" s="35">
        <f t="shared" ref="H1656:K1656" si="749">H1657</f>
        <v>3765.47289</v>
      </c>
      <c r="I1656" s="35">
        <f t="shared" si="749"/>
        <v>3142.3685799999998</v>
      </c>
      <c r="J1656" s="35">
        <f t="shared" si="749"/>
        <v>3142.3685799999998</v>
      </c>
      <c r="K1656" s="35">
        <f t="shared" si="749"/>
        <v>2991.4826800000001</v>
      </c>
      <c r="L1656" s="35">
        <f t="shared" si="739"/>
        <v>79.445072833866561</v>
      </c>
      <c r="M1656" s="35">
        <f t="shared" si="740"/>
        <v>95.198338573000882</v>
      </c>
    </row>
    <row r="1657" spans="1:13" ht="25.5">
      <c r="A1657" s="59" t="s">
        <v>66</v>
      </c>
      <c r="B1657" s="28" t="s">
        <v>664</v>
      </c>
      <c r="C1657" s="28" t="s">
        <v>19</v>
      </c>
      <c r="D1657" s="28" t="s">
        <v>130</v>
      </c>
      <c r="E1657" s="28" t="s">
        <v>686</v>
      </c>
      <c r="F1657" s="28" t="s">
        <v>67</v>
      </c>
      <c r="G1657" s="35">
        <v>400.5</v>
      </c>
      <c r="H1657" s="35">
        <v>3765.47289</v>
      </c>
      <c r="I1657" s="35">
        <v>3142.3685799999998</v>
      </c>
      <c r="J1657" s="35">
        <v>3142.3685799999998</v>
      </c>
      <c r="K1657" s="35">
        <v>2991.4826800000001</v>
      </c>
      <c r="L1657" s="35">
        <f t="shared" si="739"/>
        <v>79.445072833866561</v>
      </c>
      <c r="M1657" s="35">
        <f t="shared" si="740"/>
        <v>95.198338573000882</v>
      </c>
    </row>
    <row r="1658" spans="1:13">
      <c r="A1658" s="59" t="s">
        <v>68</v>
      </c>
      <c r="B1658" s="28" t="s">
        <v>664</v>
      </c>
      <c r="C1658" s="28" t="s">
        <v>19</v>
      </c>
      <c r="D1658" s="28" t="s">
        <v>130</v>
      </c>
      <c r="E1658" s="28" t="s">
        <v>686</v>
      </c>
      <c r="F1658" s="28" t="s">
        <v>69</v>
      </c>
      <c r="G1658" s="35">
        <f>G1659</f>
        <v>180</v>
      </c>
      <c r="H1658" s="35">
        <f t="shared" ref="H1658:K1658" si="750">H1659</f>
        <v>180</v>
      </c>
      <c r="I1658" s="35">
        <f t="shared" si="750"/>
        <v>0</v>
      </c>
      <c r="J1658" s="35">
        <f t="shared" si="750"/>
        <v>0</v>
      </c>
      <c r="K1658" s="35">
        <f t="shared" si="750"/>
        <v>0</v>
      </c>
      <c r="L1658" s="35">
        <f t="shared" si="739"/>
        <v>0</v>
      </c>
      <c r="M1658" s="35">
        <v>0</v>
      </c>
    </row>
    <row r="1659" spans="1:13">
      <c r="A1659" s="59" t="s">
        <v>70</v>
      </c>
      <c r="B1659" s="28" t="s">
        <v>664</v>
      </c>
      <c r="C1659" s="28" t="s">
        <v>19</v>
      </c>
      <c r="D1659" s="28" t="s">
        <v>130</v>
      </c>
      <c r="E1659" s="28" t="s">
        <v>686</v>
      </c>
      <c r="F1659" s="28" t="s">
        <v>71</v>
      </c>
      <c r="G1659" s="35">
        <v>180</v>
      </c>
      <c r="H1659" s="35">
        <v>180</v>
      </c>
      <c r="I1659" s="35">
        <v>0</v>
      </c>
      <c r="J1659" s="35">
        <v>0</v>
      </c>
      <c r="K1659" s="35">
        <v>0</v>
      </c>
      <c r="L1659" s="35">
        <f t="shared" si="739"/>
        <v>0</v>
      </c>
      <c r="M1659" s="35">
        <v>0</v>
      </c>
    </row>
    <row r="1660" spans="1:13">
      <c r="A1660" s="59" t="s">
        <v>72</v>
      </c>
      <c r="B1660" s="28" t="s">
        <v>664</v>
      </c>
      <c r="C1660" s="28" t="s">
        <v>19</v>
      </c>
      <c r="D1660" s="28" t="s">
        <v>130</v>
      </c>
      <c r="E1660" s="28" t="s">
        <v>686</v>
      </c>
      <c r="F1660" s="28" t="s">
        <v>73</v>
      </c>
      <c r="G1660" s="35">
        <f>G1661</f>
        <v>3.4</v>
      </c>
      <c r="H1660" s="35">
        <f t="shared" ref="H1660:K1660" si="751">H1661</f>
        <v>36.93</v>
      </c>
      <c r="I1660" s="35">
        <f t="shared" si="751"/>
        <v>30.384999999999998</v>
      </c>
      <c r="J1660" s="35">
        <f t="shared" si="751"/>
        <v>30.384999999999998</v>
      </c>
      <c r="K1660" s="35">
        <f t="shared" si="751"/>
        <v>16.515830000000001</v>
      </c>
      <c r="L1660" s="35">
        <f t="shared" si="739"/>
        <v>44.721987544002168</v>
      </c>
      <c r="M1660" s="35">
        <f t="shared" si="740"/>
        <v>54.355208161922008</v>
      </c>
    </row>
    <row r="1661" spans="1:13">
      <c r="A1661" s="59" t="s">
        <v>74</v>
      </c>
      <c r="B1661" s="28" t="s">
        <v>664</v>
      </c>
      <c r="C1661" s="28" t="s">
        <v>19</v>
      </c>
      <c r="D1661" s="28" t="s">
        <v>130</v>
      </c>
      <c r="E1661" s="28" t="s">
        <v>686</v>
      </c>
      <c r="F1661" s="28" t="s">
        <v>75</v>
      </c>
      <c r="G1661" s="35">
        <v>3.4</v>
      </c>
      <c r="H1661" s="35">
        <f>2.63+29.3+5</f>
        <v>36.93</v>
      </c>
      <c r="I1661" s="35">
        <f>1.485+23.9+5</f>
        <v>30.384999999999998</v>
      </c>
      <c r="J1661" s="35">
        <f>1.485+23.9+5</f>
        <v>30.384999999999998</v>
      </c>
      <c r="K1661" s="35">
        <f>0.534+15.98183</f>
        <v>16.515830000000001</v>
      </c>
      <c r="L1661" s="35">
        <f t="shared" si="739"/>
        <v>44.721987544002168</v>
      </c>
      <c r="M1661" s="35">
        <f t="shared" si="740"/>
        <v>54.355208161922008</v>
      </c>
    </row>
    <row r="1662" spans="1:13" s="92" customFormat="1">
      <c r="A1662" s="59" t="s">
        <v>612</v>
      </c>
      <c r="B1662" s="28" t="s">
        <v>664</v>
      </c>
      <c r="C1662" s="28" t="s">
        <v>19</v>
      </c>
      <c r="D1662" s="28" t="s">
        <v>130</v>
      </c>
      <c r="E1662" s="29" t="s">
        <v>613</v>
      </c>
      <c r="F1662" s="28"/>
      <c r="G1662" s="35"/>
      <c r="H1662" s="35">
        <f>H1663</f>
        <v>251.71600000000001</v>
      </c>
      <c r="I1662" s="35">
        <f t="shared" ref="I1662:K1664" si="752">I1663</f>
        <v>251.71600000000001</v>
      </c>
      <c r="J1662" s="35">
        <f t="shared" si="752"/>
        <v>251.71600000000001</v>
      </c>
      <c r="K1662" s="35">
        <f t="shared" si="752"/>
        <v>251.71600000000001</v>
      </c>
      <c r="L1662" s="35">
        <f t="shared" si="739"/>
        <v>100</v>
      </c>
      <c r="M1662" s="35">
        <f t="shared" si="740"/>
        <v>100</v>
      </c>
    </row>
    <row r="1663" spans="1:13" s="92" customFormat="1">
      <c r="A1663" s="59" t="s">
        <v>612</v>
      </c>
      <c r="B1663" s="28" t="s">
        <v>664</v>
      </c>
      <c r="C1663" s="28" t="s">
        <v>19</v>
      </c>
      <c r="D1663" s="28" t="s">
        <v>130</v>
      </c>
      <c r="E1663" s="29" t="s">
        <v>614</v>
      </c>
      <c r="F1663" s="28"/>
      <c r="G1663" s="35"/>
      <c r="H1663" s="35">
        <f>H1664</f>
        <v>251.71600000000001</v>
      </c>
      <c r="I1663" s="35">
        <f t="shared" si="752"/>
        <v>251.71600000000001</v>
      </c>
      <c r="J1663" s="35">
        <f t="shared" si="752"/>
        <v>251.71600000000001</v>
      </c>
      <c r="K1663" s="35">
        <f t="shared" si="752"/>
        <v>251.71600000000001</v>
      </c>
      <c r="L1663" s="35">
        <f t="shared" si="739"/>
        <v>100</v>
      </c>
      <c r="M1663" s="35">
        <f t="shared" si="740"/>
        <v>100</v>
      </c>
    </row>
    <row r="1664" spans="1:13" s="92" customFormat="1">
      <c r="A1664" s="59" t="s">
        <v>26</v>
      </c>
      <c r="B1664" s="28" t="s">
        <v>664</v>
      </c>
      <c r="C1664" s="28" t="s">
        <v>19</v>
      </c>
      <c r="D1664" s="28" t="s">
        <v>130</v>
      </c>
      <c r="E1664" s="29" t="s">
        <v>614</v>
      </c>
      <c r="F1664" s="28">
        <v>500</v>
      </c>
      <c r="G1664" s="35"/>
      <c r="H1664" s="35">
        <f>H1665</f>
        <v>251.71600000000001</v>
      </c>
      <c r="I1664" s="35">
        <f t="shared" si="752"/>
        <v>251.71600000000001</v>
      </c>
      <c r="J1664" s="35">
        <f t="shared" si="752"/>
        <v>251.71600000000001</v>
      </c>
      <c r="K1664" s="35">
        <f t="shared" si="752"/>
        <v>251.71600000000001</v>
      </c>
      <c r="L1664" s="35">
        <f t="shared" si="739"/>
        <v>100</v>
      </c>
      <c r="M1664" s="35">
        <f t="shared" si="740"/>
        <v>100</v>
      </c>
    </row>
    <row r="1665" spans="1:13" s="92" customFormat="1">
      <c r="A1665" s="62" t="s">
        <v>352</v>
      </c>
      <c r="B1665" s="28" t="s">
        <v>664</v>
      </c>
      <c r="C1665" s="28" t="s">
        <v>19</v>
      </c>
      <c r="D1665" s="28" t="s">
        <v>130</v>
      </c>
      <c r="E1665" s="29" t="s">
        <v>614</v>
      </c>
      <c r="F1665" s="28">
        <v>540</v>
      </c>
      <c r="G1665" s="35"/>
      <c r="H1665" s="35">
        <v>251.71600000000001</v>
      </c>
      <c r="I1665" s="35">
        <v>251.71600000000001</v>
      </c>
      <c r="J1665" s="35">
        <v>251.71600000000001</v>
      </c>
      <c r="K1665" s="35">
        <v>251.71600000000001</v>
      </c>
      <c r="L1665" s="35">
        <f t="shared" si="739"/>
        <v>100</v>
      </c>
      <c r="M1665" s="35">
        <f t="shared" si="740"/>
        <v>100</v>
      </c>
    </row>
    <row r="1666" spans="1:13">
      <c r="A1666" s="59" t="s">
        <v>45</v>
      </c>
      <c r="B1666" s="28" t="s">
        <v>664</v>
      </c>
      <c r="C1666" s="28" t="s">
        <v>19</v>
      </c>
      <c r="D1666" s="28" t="s">
        <v>46</v>
      </c>
      <c r="E1666" s="58" t="s">
        <v>0</v>
      </c>
      <c r="F1666" s="58" t="s">
        <v>0</v>
      </c>
      <c r="G1666" s="35">
        <f>G1667+G1712+G1720</f>
        <v>6584871.0999999987</v>
      </c>
      <c r="H1666" s="35">
        <f>H1667+H1712+H1720+H1716</f>
        <v>6590541.4763999991</v>
      </c>
      <c r="I1666" s="35">
        <f t="shared" ref="I1666:K1666" si="753">I1667+I1712+I1720+I1716</f>
        <v>4385493.3210200006</v>
      </c>
      <c r="J1666" s="35">
        <f t="shared" si="753"/>
        <v>4385493.3210200006</v>
      </c>
      <c r="K1666" s="35">
        <f t="shared" si="753"/>
        <v>4374803.4041299997</v>
      </c>
      <c r="L1666" s="35">
        <f t="shared" si="739"/>
        <v>66.380029923120702</v>
      </c>
      <c r="M1666" s="35">
        <f t="shared" si="740"/>
        <v>99.756243685544717</v>
      </c>
    </row>
    <row r="1667" spans="1:13" ht="38.25">
      <c r="A1667" s="59" t="s">
        <v>665</v>
      </c>
      <c r="B1667" s="28" t="s">
        <v>664</v>
      </c>
      <c r="C1667" s="28" t="s">
        <v>19</v>
      </c>
      <c r="D1667" s="28" t="s">
        <v>46</v>
      </c>
      <c r="E1667" s="28" t="s">
        <v>666</v>
      </c>
      <c r="F1667" s="58" t="s">
        <v>0</v>
      </c>
      <c r="G1667" s="35">
        <f>G1668+G1675+G1682+G1689++G1706</f>
        <v>6255067.7999999989</v>
      </c>
      <c r="H1667" s="35">
        <f t="shared" ref="H1667" si="754">H1668+H1675+H1682+H1689++H1706</f>
        <v>6255067.7299999986</v>
      </c>
      <c r="I1667" s="35">
        <f t="shared" ref="I1667:K1667" si="755">I1668+I1675+I1682+I1689++I1706</f>
        <v>4111679.5916200001</v>
      </c>
      <c r="J1667" s="35">
        <f t="shared" si="755"/>
        <v>4111679.5916200001</v>
      </c>
      <c r="K1667" s="35">
        <f t="shared" si="755"/>
        <v>4108991.3141299998</v>
      </c>
      <c r="L1667" s="35">
        <f t="shared" si="739"/>
        <v>65.690596672883686</v>
      </c>
      <c r="M1667" s="35">
        <f t="shared" si="740"/>
        <v>99.934618507349668</v>
      </c>
    </row>
    <row r="1668" spans="1:13" ht="38.25">
      <c r="A1668" s="59" t="s">
        <v>682</v>
      </c>
      <c r="B1668" s="28" t="s">
        <v>664</v>
      </c>
      <c r="C1668" s="28" t="s">
        <v>19</v>
      </c>
      <c r="D1668" s="28" t="s">
        <v>46</v>
      </c>
      <c r="E1668" s="28" t="s">
        <v>683</v>
      </c>
      <c r="F1668" s="58" t="s">
        <v>0</v>
      </c>
      <c r="G1668" s="35">
        <f>G1672+G1669</f>
        <v>433400</v>
      </c>
      <c r="H1668" s="35">
        <f t="shared" ref="H1668:K1668" si="756">H1672+H1669</f>
        <v>433400</v>
      </c>
      <c r="I1668" s="35">
        <f t="shared" si="756"/>
        <v>234500</v>
      </c>
      <c r="J1668" s="35">
        <f t="shared" si="756"/>
        <v>234500</v>
      </c>
      <c r="K1668" s="35">
        <f t="shared" si="756"/>
        <v>234500</v>
      </c>
      <c r="L1668" s="35">
        <f t="shared" si="739"/>
        <v>54.107060452238123</v>
      </c>
      <c r="M1668" s="35">
        <f t="shared" si="740"/>
        <v>100</v>
      </c>
    </row>
    <row r="1669" spans="1:13" ht="89.25" customHeight="1">
      <c r="A1669" s="59" t="s">
        <v>1176</v>
      </c>
      <c r="B1669" s="28" t="s">
        <v>664</v>
      </c>
      <c r="C1669" s="28" t="s">
        <v>19</v>
      </c>
      <c r="D1669" s="28" t="s">
        <v>46</v>
      </c>
      <c r="E1669" s="29" t="s">
        <v>1175</v>
      </c>
      <c r="F1669" s="58"/>
      <c r="G1669" s="35">
        <f>G1670</f>
        <v>100000</v>
      </c>
      <c r="H1669" s="35">
        <f t="shared" ref="H1669:K1670" si="757">H1670</f>
        <v>100000</v>
      </c>
      <c r="I1669" s="35">
        <f t="shared" si="757"/>
        <v>100000</v>
      </c>
      <c r="J1669" s="35">
        <f t="shared" si="757"/>
        <v>100000</v>
      </c>
      <c r="K1669" s="35">
        <f t="shared" si="757"/>
        <v>100000</v>
      </c>
      <c r="L1669" s="35">
        <f t="shared" si="739"/>
        <v>100</v>
      </c>
      <c r="M1669" s="35">
        <f t="shared" si="740"/>
        <v>100</v>
      </c>
    </row>
    <row r="1670" spans="1:13">
      <c r="A1670" s="59" t="s">
        <v>26</v>
      </c>
      <c r="B1670" s="28" t="s">
        <v>664</v>
      </c>
      <c r="C1670" s="28" t="s">
        <v>19</v>
      </c>
      <c r="D1670" s="28" t="s">
        <v>46</v>
      </c>
      <c r="E1670" s="29" t="s">
        <v>1175</v>
      </c>
      <c r="F1670" s="58">
        <v>500</v>
      </c>
      <c r="G1670" s="35">
        <f>G1671</f>
        <v>100000</v>
      </c>
      <c r="H1670" s="35">
        <f t="shared" si="757"/>
        <v>100000</v>
      </c>
      <c r="I1670" s="35">
        <f t="shared" si="757"/>
        <v>100000</v>
      </c>
      <c r="J1670" s="35">
        <f t="shared" si="757"/>
        <v>100000</v>
      </c>
      <c r="K1670" s="35">
        <f t="shared" si="757"/>
        <v>100000</v>
      </c>
      <c r="L1670" s="35">
        <f t="shared" si="739"/>
        <v>100</v>
      </c>
      <c r="M1670" s="35">
        <f t="shared" si="740"/>
        <v>100</v>
      </c>
    </row>
    <row r="1671" spans="1:13">
      <c r="A1671" s="62" t="s">
        <v>352</v>
      </c>
      <c r="B1671" s="28" t="s">
        <v>664</v>
      </c>
      <c r="C1671" s="28" t="s">
        <v>19</v>
      </c>
      <c r="D1671" s="28" t="s">
        <v>46</v>
      </c>
      <c r="E1671" s="29" t="s">
        <v>1175</v>
      </c>
      <c r="F1671" s="58">
        <v>540</v>
      </c>
      <c r="G1671" s="35">
        <v>100000</v>
      </c>
      <c r="H1671" s="35">
        <v>100000</v>
      </c>
      <c r="I1671" s="35">
        <v>100000</v>
      </c>
      <c r="J1671" s="35">
        <v>100000</v>
      </c>
      <c r="K1671" s="35">
        <v>100000</v>
      </c>
      <c r="L1671" s="35">
        <f t="shared" si="739"/>
        <v>100</v>
      </c>
      <c r="M1671" s="35">
        <f t="shared" si="740"/>
        <v>100</v>
      </c>
    </row>
    <row r="1672" spans="1:13" ht="25.5">
      <c r="A1672" s="59" t="s">
        <v>684</v>
      </c>
      <c r="B1672" s="28" t="s">
        <v>664</v>
      </c>
      <c r="C1672" s="28" t="s">
        <v>19</v>
      </c>
      <c r="D1672" s="28" t="s">
        <v>46</v>
      </c>
      <c r="E1672" s="28" t="s">
        <v>685</v>
      </c>
      <c r="F1672" s="58" t="s">
        <v>0</v>
      </c>
      <c r="G1672" s="35">
        <f>G1673</f>
        <v>333400</v>
      </c>
      <c r="H1672" s="35">
        <f t="shared" ref="H1672:K1673" si="758">H1673</f>
        <v>333400</v>
      </c>
      <c r="I1672" s="35">
        <f t="shared" si="758"/>
        <v>134500</v>
      </c>
      <c r="J1672" s="35">
        <f t="shared" si="758"/>
        <v>134500</v>
      </c>
      <c r="K1672" s="35">
        <f t="shared" si="758"/>
        <v>134500</v>
      </c>
      <c r="L1672" s="35">
        <f t="shared" si="739"/>
        <v>40.341931613677261</v>
      </c>
      <c r="M1672" s="35">
        <f t="shared" si="740"/>
        <v>100</v>
      </c>
    </row>
    <row r="1673" spans="1:13">
      <c r="A1673" s="59" t="s">
        <v>26</v>
      </c>
      <c r="B1673" s="28" t="s">
        <v>664</v>
      </c>
      <c r="C1673" s="28" t="s">
        <v>19</v>
      </c>
      <c r="D1673" s="28" t="s">
        <v>46</v>
      </c>
      <c r="E1673" s="28" t="s">
        <v>685</v>
      </c>
      <c r="F1673" s="28" t="s">
        <v>27</v>
      </c>
      <c r="G1673" s="35">
        <f>G1674</f>
        <v>333400</v>
      </c>
      <c r="H1673" s="35">
        <f t="shared" si="758"/>
        <v>333400</v>
      </c>
      <c r="I1673" s="35">
        <f t="shared" si="758"/>
        <v>134500</v>
      </c>
      <c r="J1673" s="35">
        <f t="shared" si="758"/>
        <v>134500</v>
      </c>
      <c r="K1673" s="35">
        <f t="shared" si="758"/>
        <v>134500</v>
      </c>
      <c r="L1673" s="35">
        <f t="shared" si="739"/>
        <v>40.341931613677261</v>
      </c>
      <c r="M1673" s="35">
        <f t="shared" si="740"/>
        <v>100</v>
      </c>
    </row>
    <row r="1674" spans="1:13">
      <c r="A1674" s="59" t="s">
        <v>56</v>
      </c>
      <c r="B1674" s="28" t="s">
        <v>664</v>
      </c>
      <c r="C1674" s="28" t="s">
        <v>19</v>
      </c>
      <c r="D1674" s="28" t="s">
        <v>46</v>
      </c>
      <c r="E1674" s="28" t="s">
        <v>685</v>
      </c>
      <c r="F1674" s="28" t="s">
        <v>57</v>
      </c>
      <c r="G1674" s="35">
        <v>333400</v>
      </c>
      <c r="H1674" s="35">
        <v>333400</v>
      </c>
      <c r="I1674" s="35">
        <v>134500</v>
      </c>
      <c r="J1674" s="35">
        <v>134500</v>
      </c>
      <c r="K1674" s="35">
        <v>134500</v>
      </c>
      <c r="L1674" s="35">
        <f t="shared" si="739"/>
        <v>40.341931613677261</v>
      </c>
      <c r="M1674" s="35">
        <f t="shared" si="740"/>
        <v>100</v>
      </c>
    </row>
    <row r="1675" spans="1:13" ht="38.25">
      <c r="A1675" s="59" t="s">
        <v>687</v>
      </c>
      <c r="B1675" s="28" t="s">
        <v>664</v>
      </c>
      <c r="C1675" s="28" t="s">
        <v>19</v>
      </c>
      <c r="D1675" s="28" t="s">
        <v>46</v>
      </c>
      <c r="E1675" s="28" t="s">
        <v>688</v>
      </c>
      <c r="F1675" s="58" t="s">
        <v>0</v>
      </c>
      <c r="G1675" s="35">
        <f>G1679+G1676</f>
        <v>1184751.2</v>
      </c>
      <c r="H1675" s="35">
        <f t="shared" ref="H1675:K1675" si="759">H1679+H1676</f>
        <v>1184751.1499999999</v>
      </c>
      <c r="I1675" s="35">
        <f t="shared" si="759"/>
        <v>822225.15815999999</v>
      </c>
      <c r="J1675" s="35">
        <f t="shared" si="759"/>
        <v>822225.15815999999</v>
      </c>
      <c r="K1675" s="35">
        <f t="shared" si="759"/>
        <v>822225.13647999999</v>
      </c>
      <c r="L1675" s="35">
        <f t="shared" si="739"/>
        <v>69.400661605603858</v>
      </c>
      <c r="M1675" s="35">
        <f t="shared" si="740"/>
        <v>99.99999736325266</v>
      </c>
    </row>
    <row r="1676" spans="1:13" ht="89.25">
      <c r="A1676" s="59" t="s">
        <v>1176</v>
      </c>
      <c r="B1676" s="28" t="s">
        <v>664</v>
      </c>
      <c r="C1676" s="28" t="s">
        <v>19</v>
      </c>
      <c r="D1676" s="28" t="s">
        <v>46</v>
      </c>
      <c r="E1676" s="29" t="s">
        <v>1177</v>
      </c>
      <c r="F1676" s="58"/>
      <c r="G1676" s="35">
        <f>G1677</f>
        <v>949591.5</v>
      </c>
      <c r="H1676" s="35">
        <f t="shared" ref="H1676:K1677" si="760">H1677</f>
        <v>949591.45</v>
      </c>
      <c r="I1676" s="35">
        <f t="shared" si="760"/>
        <v>718456.28799999994</v>
      </c>
      <c r="J1676" s="35">
        <f t="shared" si="760"/>
        <v>718456.28799999994</v>
      </c>
      <c r="K1676" s="35">
        <f t="shared" si="760"/>
        <v>718456.28799999994</v>
      </c>
      <c r="L1676" s="35">
        <f t="shared" si="739"/>
        <v>75.659515257851155</v>
      </c>
      <c r="M1676" s="35">
        <f t="shared" si="740"/>
        <v>100</v>
      </c>
    </row>
    <row r="1677" spans="1:13" ht="25.5">
      <c r="A1677" s="59" t="s">
        <v>39</v>
      </c>
      <c r="B1677" s="28" t="s">
        <v>664</v>
      </c>
      <c r="C1677" s="28" t="s">
        <v>19</v>
      </c>
      <c r="D1677" s="28" t="s">
        <v>46</v>
      </c>
      <c r="E1677" s="29" t="s">
        <v>1177</v>
      </c>
      <c r="F1677" s="28">
        <v>400</v>
      </c>
      <c r="G1677" s="35">
        <f>G1678</f>
        <v>949591.5</v>
      </c>
      <c r="H1677" s="35">
        <f t="shared" si="760"/>
        <v>949591.45</v>
      </c>
      <c r="I1677" s="35">
        <f t="shared" si="760"/>
        <v>718456.28799999994</v>
      </c>
      <c r="J1677" s="35">
        <f t="shared" si="760"/>
        <v>718456.28799999994</v>
      </c>
      <c r="K1677" s="35">
        <f t="shared" si="760"/>
        <v>718456.28799999994</v>
      </c>
      <c r="L1677" s="35">
        <f t="shared" si="739"/>
        <v>75.659515257851155</v>
      </c>
      <c r="M1677" s="35">
        <f t="shared" si="740"/>
        <v>100</v>
      </c>
    </row>
    <row r="1678" spans="1:13">
      <c r="A1678" s="59" t="s">
        <v>41</v>
      </c>
      <c r="B1678" s="28" t="s">
        <v>664</v>
      </c>
      <c r="C1678" s="28" t="s">
        <v>19</v>
      </c>
      <c r="D1678" s="28" t="s">
        <v>46</v>
      </c>
      <c r="E1678" s="29" t="s">
        <v>1177</v>
      </c>
      <c r="F1678" s="58">
        <v>410</v>
      </c>
      <c r="G1678" s="35">
        <v>949591.5</v>
      </c>
      <c r="H1678" s="35">
        <v>949591.45</v>
      </c>
      <c r="I1678" s="35">
        <v>718456.28799999994</v>
      </c>
      <c r="J1678" s="35">
        <v>718456.28799999994</v>
      </c>
      <c r="K1678" s="35">
        <v>718456.28799999994</v>
      </c>
      <c r="L1678" s="35">
        <f t="shared" si="739"/>
        <v>75.659515257851155</v>
      </c>
      <c r="M1678" s="35">
        <f t="shared" si="740"/>
        <v>100</v>
      </c>
    </row>
    <row r="1679" spans="1:13" ht="38.25">
      <c r="A1679" s="59" t="s">
        <v>37</v>
      </c>
      <c r="B1679" s="28" t="s">
        <v>664</v>
      </c>
      <c r="C1679" s="28" t="s">
        <v>19</v>
      </c>
      <c r="D1679" s="28" t="s">
        <v>46</v>
      </c>
      <c r="E1679" s="28" t="s">
        <v>689</v>
      </c>
      <c r="F1679" s="58" t="s">
        <v>0</v>
      </c>
      <c r="G1679" s="35">
        <f>G1680</f>
        <v>235159.7</v>
      </c>
      <c r="H1679" s="35">
        <f t="shared" ref="H1679:K1680" si="761">H1680</f>
        <v>235159.7</v>
      </c>
      <c r="I1679" s="35">
        <f t="shared" si="761"/>
        <v>103768.87016000001</v>
      </c>
      <c r="J1679" s="35">
        <f t="shared" si="761"/>
        <v>103768.87016000001</v>
      </c>
      <c r="K1679" s="35">
        <f t="shared" si="761"/>
        <v>103768.84848</v>
      </c>
      <c r="L1679" s="35">
        <f t="shared" si="739"/>
        <v>44.126969238351634</v>
      </c>
      <c r="M1679" s="35">
        <f t="shared" si="740"/>
        <v>99.999979107414418</v>
      </c>
    </row>
    <row r="1680" spans="1:13" ht="25.5">
      <c r="A1680" s="59" t="s">
        <v>39</v>
      </c>
      <c r="B1680" s="28" t="s">
        <v>664</v>
      </c>
      <c r="C1680" s="28" t="s">
        <v>19</v>
      </c>
      <c r="D1680" s="28" t="s">
        <v>46</v>
      </c>
      <c r="E1680" s="28" t="s">
        <v>689</v>
      </c>
      <c r="F1680" s="28" t="s">
        <v>40</v>
      </c>
      <c r="G1680" s="35">
        <f>G1681</f>
        <v>235159.7</v>
      </c>
      <c r="H1680" s="35">
        <f t="shared" si="761"/>
        <v>235159.7</v>
      </c>
      <c r="I1680" s="35">
        <f t="shared" si="761"/>
        <v>103768.87016000001</v>
      </c>
      <c r="J1680" s="35">
        <f t="shared" si="761"/>
        <v>103768.87016000001</v>
      </c>
      <c r="K1680" s="35">
        <f t="shared" si="761"/>
        <v>103768.84848</v>
      </c>
      <c r="L1680" s="35">
        <f t="shared" si="739"/>
        <v>44.126969238351634</v>
      </c>
      <c r="M1680" s="35">
        <f t="shared" si="740"/>
        <v>99.999979107414418</v>
      </c>
    </row>
    <row r="1681" spans="1:13">
      <c r="A1681" s="59" t="s">
        <v>41</v>
      </c>
      <c r="B1681" s="28" t="s">
        <v>664</v>
      </c>
      <c r="C1681" s="28" t="s">
        <v>19</v>
      </c>
      <c r="D1681" s="28" t="s">
        <v>46</v>
      </c>
      <c r="E1681" s="28" t="s">
        <v>689</v>
      </c>
      <c r="F1681" s="28" t="s">
        <v>42</v>
      </c>
      <c r="G1681" s="35">
        <v>235159.7</v>
      </c>
      <c r="H1681" s="35">
        <v>235159.7</v>
      </c>
      <c r="I1681" s="35">
        <v>103768.87016000001</v>
      </c>
      <c r="J1681" s="35">
        <v>103768.87016000001</v>
      </c>
      <c r="K1681" s="35">
        <v>103768.84848</v>
      </c>
      <c r="L1681" s="35">
        <f t="shared" si="739"/>
        <v>44.126969238351634</v>
      </c>
      <c r="M1681" s="35">
        <f t="shared" si="740"/>
        <v>99.999979107414418</v>
      </c>
    </row>
    <row r="1682" spans="1:13" ht="51">
      <c r="A1682" s="59" t="s">
        <v>690</v>
      </c>
      <c r="B1682" s="28" t="s">
        <v>664</v>
      </c>
      <c r="C1682" s="28" t="s">
        <v>19</v>
      </c>
      <c r="D1682" s="28" t="s">
        <v>46</v>
      </c>
      <c r="E1682" s="28" t="s">
        <v>691</v>
      </c>
      <c r="F1682" s="58" t="s">
        <v>0</v>
      </c>
      <c r="G1682" s="35">
        <f>G1686+G1683</f>
        <v>4010459.4</v>
      </c>
      <c r="H1682" s="35">
        <f t="shared" ref="H1682:K1682" si="762">H1686+H1683</f>
        <v>4010459.38</v>
      </c>
      <c r="I1682" s="35">
        <f t="shared" si="762"/>
        <v>2597390.5076099997</v>
      </c>
      <c r="J1682" s="35">
        <f t="shared" si="762"/>
        <v>2597390.5076099997</v>
      </c>
      <c r="K1682" s="35">
        <f t="shared" si="762"/>
        <v>2597327.70633</v>
      </c>
      <c r="L1682" s="35">
        <f t="shared" si="739"/>
        <v>64.763845241339908</v>
      </c>
      <c r="M1682" s="35">
        <f t="shared" si="740"/>
        <v>99.997582139465905</v>
      </c>
    </row>
    <row r="1683" spans="1:13" ht="89.25">
      <c r="A1683" s="59" t="s">
        <v>1176</v>
      </c>
      <c r="B1683" s="28" t="s">
        <v>664</v>
      </c>
      <c r="C1683" s="28" t="s">
        <v>19</v>
      </c>
      <c r="D1683" s="28" t="s">
        <v>46</v>
      </c>
      <c r="E1683" s="29" t="s">
        <v>1178</v>
      </c>
      <c r="F1683" s="58"/>
      <c r="G1683" s="35">
        <f>G1684</f>
        <v>462833.4</v>
      </c>
      <c r="H1683" s="35">
        <f t="shared" ref="H1683:K1684" si="763">H1684</f>
        <v>462833.4</v>
      </c>
      <c r="I1683" s="35">
        <f t="shared" si="763"/>
        <v>303565.55599999998</v>
      </c>
      <c r="J1683" s="35">
        <f t="shared" si="763"/>
        <v>303565.55599999998</v>
      </c>
      <c r="K1683" s="35">
        <f t="shared" si="763"/>
        <v>303565.55599999998</v>
      </c>
      <c r="L1683" s="35">
        <f t="shared" si="739"/>
        <v>65.588515435575729</v>
      </c>
      <c r="M1683" s="35">
        <f t="shared" si="740"/>
        <v>100</v>
      </c>
    </row>
    <row r="1684" spans="1:13" ht="25.5">
      <c r="A1684" s="59" t="s">
        <v>64</v>
      </c>
      <c r="B1684" s="28" t="s">
        <v>664</v>
      </c>
      <c r="C1684" s="28" t="s">
        <v>19</v>
      </c>
      <c r="D1684" s="28" t="s">
        <v>46</v>
      </c>
      <c r="E1684" s="29" t="s">
        <v>1178</v>
      </c>
      <c r="F1684" s="28">
        <v>200</v>
      </c>
      <c r="G1684" s="35">
        <f>G1685</f>
        <v>462833.4</v>
      </c>
      <c r="H1684" s="35">
        <f t="shared" si="763"/>
        <v>462833.4</v>
      </c>
      <c r="I1684" s="35">
        <f t="shared" si="763"/>
        <v>303565.55599999998</v>
      </c>
      <c r="J1684" s="35">
        <f t="shared" si="763"/>
        <v>303565.55599999998</v>
      </c>
      <c r="K1684" s="35">
        <f t="shared" si="763"/>
        <v>303565.55599999998</v>
      </c>
      <c r="L1684" s="35">
        <f t="shared" si="739"/>
        <v>65.588515435575729</v>
      </c>
      <c r="M1684" s="35">
        <f t="shared" si="740"/>
        <v>100</v>
      </c>
    </row>
    <row r="1685" spans="1:13" ht="25.5">
      <c r="A1685" s="59" t="s">
        <v>66</v>
      </c>
      <c r="B1685" s="28" t="s">
        <v>664</v>
      </c>
      <c r="C1685" s="28" t="s">
        <v>19</v>
      </c>
      <c r="D1685" s="28" t="s">
        <v>46</v>
      </c>
      <c r="E1685" s="29" t="s">
        <v>1178</v>
      </c>
      <c r="F1685" s="28">
        <v>240</v>
      </c>
      <c r="G1685" s="35">
        <v>462833.4</v>
      </c>
      <c r="H1685" s="35">
        <v>462833.4</v>
      </c>
      <c r="I1685" s="35">
        <v>303565.55599999998</v>
      </c>
      <c r="J1685" s="35">
        <v>303565.55599999998</v>
      </c>
      <c r="K1685" s="35">
        <v>303565.55599999998</v>
      </c>
      <c r="L1685" s="35">
        <f t="shared" si="739"/>
        <v>65.588515435575729</v>
      </c>
      <c r="M1685" s="35">
        <f t="shared" si="740"/>
        <v>100</v>
      </c>
    </row>
    <row r="1686" spans="1:13" ht="25.5">
      <c r="A1686" s="59" t="s">
        <v>692</v>
      </c>
      <c r="B1686" s="28" t="s">
        <v>664</v>
      </c>
      <c r="C1686" s="28" t="s">
        <v>19</v>
      </c>
      <c r="D1686" s="28" t="s">
        <v>46</v>
      </c>
      <c r="E1686" s="28" t="s">
        <v>693</v>
      </c>
      <c r="F1686" s="58" t="s">
        <v>0</v>
      </c>
      <c r="G1686" s="35">
        <f>G1687</f>
        <v>3547626</v>
      </c>
      <c r="H1686" s="35">
        <f t="shared" ref="H1686:K1687" si="764">H1687</f>
        <v>3547625.98</v>
      </c>
      <c r="I1686" s="35">
        <f t="shared" si="764"/>
        <v>2293824.9516099999</v>
      </c>
      <c r="J1686" s="35">
        <f t="shared" si="764"/>
        <v>2293824.9516099999</v>
      </c>
      <c r="K1686" s="35">
        <f t="shared" si="764"/>
        <v>2293762.1503300001</v>
      </c>
      <c r="L1686" s="35">
        <f t="shared" si="739"/>
        <v>64.656256416579751</v>
      </c>
      <c r="M1686" s="35">
        <f t="shared" si="740"/>
        <v>99.997262158999717</v>
      </c>
    </row>
    <row r="1687" spans="1:13" ht="25.5">
      <c r="A1687" s="59" t="s">
        <v>64</v>
      </c>
      <c r="B1687" s="28" t="s">
        <v>664</v>
      </c>
      <c r="C1687" s="28" t="s">
        <v>19</v>
      </c>
      <c r="D1687" s="28" t="s">
        <v>46</v>
      </c>
      <c r="E1687" s="28" t="s">
        <v>693</v>
      </c>
      <c r="F1687" s="28" t="s">
        <v>65</v>
      </c>
      <c r="G1687" s="35">
        <f>G1688</f>
        <v>3547626</v>
      </c>
      <c r="H1687" s="35">
        <f t="shared" si="764"/>
        <v>3547625.98</v>
      </c>
      <c r="I1687" s="35">
        <f t="shared" si="764"/>
        <v>2293824.9516099999</v>
      </c>
      <c r="J1687" s="35">
        <f t="shared" si="764"/>
        <v>2293824.9516099999</v>
      </c>
      <c r="K1687" s="35">
        <f t="shared" si="764"/>
        <v>2293762.1503300001</v>
      </c>
      <c r="L1687" s="35">
        <f t="shared" si="739"/>
        <v>64.656256416579751</v>
      </c>
      <c r="M1687" s="35">
        <f t="shared" si="740"/>
        <v>99.997262158999717</v>
      </c>
    </row>
    <row r="1688" spans="1:13" ht="25.5">
      <c r="A1688" s="59" t="s">
        <v>66</v>
      </c>
      <c r="B1688" s="28" t="s">
        <v>664</v>
      </c>
      <c r="C1688" s="28" t="s">
        <v>19</v>
      </c>
      <c r="D1688" s="28" t="s">
        <v>46</v>
      </c>
      <c r="E1688" s="28" t="s">
        <v>693</v>
      </c>
      <c r="F1688" s="28" t="s">
        <v>67</v>
      </c>
      <c r="G1688" s="35">
        <v>3547626</v>
      </c>
      <c r="H1688" s="35">
        <v>3547625.98</v>
      </c>
      <c r="I1688" s="35">
        <v>2293824.9516099999</v>
      </c>
      <c r="J1688" s="35">
        <v>2293824.9516099999</v>
      </c>
      <c r="K1688" s="35">
        <v>2293762.1503300001</v>
      </c>
      <c r="L1688" s="35">
        <f t="shared" si="739"/>
        <v>64.656256416579751</v>
      </c>
      <c r="M1688" s="35">
        <f t="shared" si="740"/>
        <v>99.997262158999717</v>
      </c>
    </row>
    <row r="1689" spans="1:13" ht="38.25">
      <c r="A1689" s="59" t="s">
        <v>667</v>
      </c>
      <c r="B1689" s="28" t="s">
        <v>664</v>
      </c>
      <c r="C1689" s="28" t="s">
        <v>19</v>
      </c>
      <c r="D1689" s="28" t="s">
        <v>46</v>
      </c>
      <c r="E1689" s="28" t="s">
        <v>668</v>
      </c>
      <c r="F1689" s="58" t="s">
        <v>0</v>
      </c>
      <c r="G1689" s="35">
        <f>G1690+G1700+G1703</f>
        <v>577828.1</v>
      </c>
      <c r="H1689" s="35">
        <f t="shared" ref="H1689:K1689" si="765">H1690+H1700+H1703</f>
        <v>577828.1</v>
      </c>
      <c r="I1689" s="35">
        <f t="shared" si="765"/>
        <v>416744.82584999996</v>
      </c>
      <c r="J1689" s="35">
        <f t="shared" si="765"/>
        <v>416744.82584999996</v>
      </c>
      <c r="K1689" s="35">
        <f t="shared" si="765"/>
        <v>414119.37131999998</v>
      </c>
      <c r="L1689" s="35">
        <f t="shared" si="739"/>
        <v>71.668264544420737</v>
      </c>
      <c r="M1689" s="35">
        <f t="shared" si="740"/>
        <v>99.370009087780502</v>
      </c>
    </row>
    <row r="1690" spans="1:13" ht="25.5">
      <c r="A1690" s="59" t="s">
        <v>76</v>
      </c>
      <c r="B1690" s="28" t="s">
        <v>664</v>
      </c>
      <c r="C1690" s="28" t="s">
        <v>19</v>
      </c>
      <c r="D1690" s="28" t="s">
        <v>46</v>
      </c>
      <c r="E1690" s="28" t="s">
        <v>694</v>
      </c>
      <c r="F1690" s="58" t="s">
        <v>0</v>
      </c>
      <c r="G1690" s="35">
        <f>G1691+G1693+G1695+G1697</f>
        <v>129587.5</v>
      </c>
      <c r="H1690" s="35">
        <f t="shared" ref="H1690:K1690" si="766">H1691+H1693+H1695+H1697</f>
        <v>129587.5</v>
      </c>
      <c r="I1690" s="35">
        <f t="shared" si="766"/>
        <v>93321.687850000002</v>
      </c>
      <c r="J1690" s="35">
        <f t="shared" si="766"/>
        <v>93321.687850000002</v>
      </c>
      <c r="K1690" s="35">
        <f t="shared" si="766"/>
        <v>90724.393329999992</v>
      </c>
      <c r="L1690" s="35">
        <f t="shared" si="739"/>
        <v>70.010142436577596</v>
      </c>
      <c r="M1690" s="35">
        <f t="shared" si="740"/>
        <v>97.216837179183088</v>
      </c>
    </row>
    <row r="1691" spans="1:13" ht="63.75">
      <c r="A1691" s="59" t="s">
        <v>60</v>
      </c>
      <c r="B1691" s="28" t="s">
        <v>664</v>
      </c>
      <c r="C1691" s="28" t="s">
        <v>19</v>
      </c>
      <c r="D1691" s="28" t="s">
        <v>46</v>
      </c>
      <c r="E1691" s="28" t="s">
        <v>694</v>
      </c>
      <c r="F1691" s="28" t="s">
        <v>61</v>
      </c>
      <c r="G1691" s="35">
        <f>G1692</f>
        <v>73093.7</v>
      </c>
      <c r="H1691" s="35">
        <f t="shared" ref="H1691:K1691" si="767">H1692</f>
        <v>73093.700000000012</v>
      </c>
      <c r="I1691" s="35">
        <f t="shared" si="767"/>
        <v>52906.3</v>
      </c>
      <c r="J1691" s="35">
        <f t="shared" si="767"/>
        <v>52906.3</v>
      </c>
      <c r="K1691" s="35">
        <f t="shared" si="767"/>
        <v>51179.816799999993</v>
      </c>
      <c r="L1691" s="35">
        <f t="shared" si="739"/>
        <v>70.019463784156471</v>
      </c>
      <c r="M1691" s="35">
        <f t="shared" si="740"/>
        <v>96.736715287215304</v>
      </c>
    </row>
    <row r="1692" spans="1:13">
      <c r="A1692" s="59" t="s">
        <v>78</v>
      </c>
      <c r="B1692" s="28" t="s">
        <v>664</v>
      </c>
      <c r="C1692" s="28" t="s">
        <v>19</v>
      </c>
      <c r="D1692" s="28" t="s">
        <v>46</v>
      </c>
      <c r="E1692" s="28" t="s">
        <v>694</v>
      </c>
      <c r="F1692" s="28" t="s">
        <v>79</v>
      </c>
      <c r="G1692" s="35">
        <v>73093.7</v>
      </c>
      <c r="H1692" s="35">
        <f>54346.8+2605.9+16141</f>
        <v>73093.700000000012</v>
      </c>
      <c r="I1692" s="35">
        <f>39398+2218.3+11290</f>
        <v>52906.3</v>
      </c>
      <c r="J1692" s="35">
        <f>39398+2218.3+11290</f>
        <v>52906.3</v>
      </c>
      <c r="K1692" s="35">
        <f>38049.55443+2172.422+10957.84037</f>
        <v>51179.816799999993</v>
      </c>
      <c r="L1692" s="35">
        <f t="shared" si="739"/>
        <v>70.019463784156471</v>
      </c>
      <c r="M1692" s="35">
        <f t="shared" si="740"/>
        <v>96.736715287215304</v>
      </c>
    </row>
    <row r="1693" spans="1:13" ht="25.5">
      <c r="A1693" s="59" t="s">
        <v>64</v>
      </c>
      <c r="B1693" s="28" t="s">
        <v>664</v>
      </c>
      <c r="C1693" s="28" t="s">
        <v>19</v>
      </c>
      <c r="D1693" s="28" t="s">
        <v>46</v>
      </c>
      <c r="E1693" s="28" t="s">
        <v>694</v>
      </c>
      <c r="F1693" s="28" t="s">
        <v>65</v>
      </c>
      <c r="G1693" s="35">
        <f>G1694</f>
        <v>18115.2</v>
      </c>
      <c r="H1693" s="35">
        <f t="shared" ref="H1693:K1693" si="768">H1694</f>
        <v>18115.2</v>
      </c>
      <c r="I1693" s="35">
        <f t="shared" si="768"/>
        <v>11740.671</v>
      </c>
      <c r="J1693" s="35">
        <f t="shared" si="768"/>
        <v>11740.671</v>
      </c>
      <c r="K1693" s="35">
        <f t="shared" si="768"/>
        <v>10985.27692</v>
      </c>
      <c r="L1693" s="35">
        <f t="shared" si="739"/>
        <v>60.641212462462455</v>
      </c>
      <c r="M1693" s="35">
        <f t="shared" si="740"/>
        <v>93.566005895233758</v>
      </c>
    </row>
    <row r="1694" spans="1:13" ht="25.5">
      <c r="A1694" s="59" t="s">
        <v>66</v>
      </c>
      <c r="B1694" s="28" t="s">
        <v>664</v>
      </c>
      <c r="C1694" s="28" t="s">
        <v>19</v>
      </c>
      <c r="D1694" s="28" t="s">
        <v>46</v>
      </c>
      <c r="E1694" s="28" t="s">
        <v>694</v>
      </c>
      <c r="F1694" s="28" t="s">
        <v>67</v>
      </c>
      <c r="G1694" s="35">
        <v>18115.2</v>
      </c>
      <c r="H1694" s="35">
        <v>18115.2</v>
      </c>
      <c r="I1694" s="35">
        <v>11740.671</v>
      </c>
      <c r="J1694" s="35">
        <v>11740.671</v>
      </c>
      <c r="K1694" s="35">
        <v>10985.27692</v>
      </c>
      <c r="L1694" s="35">
        <f t="shared" si="739"/>
        <v>60.641212462462455</v>
      </c>
      <c r="M1694" s="35">
        <f t="shared" si="740"/>
        <v>93.566005895233758</v>
      </c>
    </row>
    <row r="1695" spans="1:13" ht="25.5">
      <c r="A1695" s="59" t="s">
        <v>80</v>
      </c>
      <c r="B1695" s="28" t="s">
        <v>664</v>
      </c>
      <c r="C1695" s="28" t="s">
        <v>19</v>
      </c>
      <c r="D1695" s="28" t="s">
        <v>46</v>
      </c>
      <c r="E1695" s="28" t="s">
        <v>694</v>
      </c>
      <c r="F1695" s="28" t="s">
        <v>81</v>
      </c>
      <c r="G1695" s="35">
        <f>G1696</f>
        <v>35643.599999999999</v>
      </c>
      <c r="H1695" s="35">
        <f t="shared" ref="H1695:K1695" si="769">H1696</f>
        <v>35643.599999999999</v>
      </c>
      <c r="I1695" s="35">
        <f t="shared" si="769"/>
        <v>26354.924999999999</v>
      </c>
      <c r="J1695" s="35">
        <f t="shared" si="769"/>
        <v>26354.924999999999</v>
      </c>
      <c r="K1695" s="35">
        <f t="shared" si="769"/>
        <v>26354.924999999999</v>
      </c>
      <c r="L1695" s="35">
        <f t="shared" si="739"/>
        <v>73.940132309867693</v>
      </c>
      <c r="M1695" s="35">
        <f t="shared" si="740"/>
        <v>100</v>
      </c>
    </row>
    <row r="1696" spans="1:13">
      <c r="A1696" s="59" t="s">
        <v>271</v>
      </c>
      <c r="B1696" s="28" t="s">
        <v>664</v>
      </c>
      <c r="C1696" s="28" t="s">
        <v>19</v>
      </c>
      <c r="D1696" s="28" t="s">
        <v>46</v>
      </c>
      <c r="E1696" s="28" t="s">
        <v>694</v>
      </c>
      <c r="F1696" s="28" t="s">
        <v>272</v>
      </c>
      <c r="G1696" s="35">
        <v>35643.599999999999</v>
      </c>
      <c r="H1696" s="35">
        <f>35528.1+115.5</f>
        <v>35643.599999999999</v>
      </c>
      <c r="I1696" s="35">
        <f>26239.425+115.5</f>
        <v>26354.924999999999</v>
      </c>
      <c r="J1696" s="35">
        <f>26239.425+115.5</f>
        <v>26354.924999999999</v>
      </c>
      <c r="K1696" s="35">
        <f>26239.425+115.5</f>
        <v>26354.924999999999</v>
      </c>
      <c r="L1696" s="35">
        <f t="shared" si="739"/>
        <v>73.940132309867693</v>
      </c>
      <c r="M1696" s="35">
        <f t="shared" si="740"/>
        <v>100</v>
      </c>
    </row>
    <row r="1697" spans="1:13">
      <c r="A1697" s="59" t="s">
        <v>72</v>
      </c>
      <c r="B1697" s="28" t="s">
        <v>664</v>
      </c>
      <c r="C1697" s="28" t="s">
        <v>19</v>
      </c>
      <c r="D1697" s="28" t="s">
        <v>46</v>
      </c>
      <c r="E1697" s="28" t="s">
        <v>694</v>
      </c>
      <c r="F1697" s="28" t="s">
        <v>73</v>
      </c>
      <c r="G1697" s="35">
        <f>G1699</f>
        <v>2735</v>
      </c>
      <c r="H1697" s="35">
        <f>H1699+H1698</f>
        <v>2735</v>
      </c>
      <c r="I1697" s="35">
        <f t="shared" ref="I1697:K1697" si="770">I1699+I1698</f>
        <v>2319.7918499999996</v>
      </c>
      <c r="J1697" s="35">
        <f t="shared" si="770"/>
        <v>2319.7918499999996</v>
      </c>
      <c r="K1697" s="35">
        <f t="shared" si="770"/>
        <v>2204.3746099999998</v>
      </c>
      <c r="L1697" s="35">
        <f t="shared" si="739"/>
        <v>80.598706032906762</v>
      </c>
      <c r="M1697" s="35">
        <f t="shared" si="740"/>
        <v>95.024672579998949</v>
      </c>
    </row>
    <row r="1698" spans="1:13">
      <c r="A1698" s="59"/>
      <c r="B1698" s="28" t="s">
        <v>664</v>
      </c>
      <c r="C1698" s="28" t="s">
        <v>19</v>
      </c>
      <c r="D1698" s="28" t="s">
        <v>46</v>
      </c>
      <c r="E1698" s="28" t="s">
        <v>694</v>
      </c>
      <c r="F1698" s="28">
        <v>830</v>
      </c>
      <c r="G1698" s="35"/>
      <c r="H1698" s="35">
        <v>86.483840000000001</v>
      </c>
      <c r="I1698" s="35">
        <v>86.483840000000001</v>
      </c>
      <c r="J1698" s="35">
        <v>86.483840000000001</v>
      </c>
      <c r="K1698" s="35">
        <v>86.483840000000001</v>
      </c>
      <c r="L1698" s="35">
        <f t="shared" si="739"/>
        <v>100</v>
      </c>
      <c r="M1698" s="35">
        <f t="shared" si="740"/>
        <v>100</v>
      </c>
    </row>
    <row r="1699" spans="1:13">
      <c r="A1699" s="59" t="s">
        <v>74</v>
      </c>
      <c r="B1699" s="28" t="s">
        <v>664</v>
      </c>
      <c r="C1699" s="28" t="s">
        <v>19</v>
      </c>
      <c r="D1699" s="28" t="s">
        <v>46</v>
      </c>
      <c r="E1699" s="28" t="s">
        <v>694</v>
      </c>
      <c r="F1699" s="28" t="s">
        <v>75</v>
      </c>
      <c r="G1699" s="35">
        <v>2735</v>
      </c>
      <c r="H1699" s="35">
        <f>737.8+264.3+1646.41616</f>
        <v>2648.5161600000001</v>
      </c>
      <c r="I1699" s="35">
        <f>496.6+211.4+1525.30801</f>
        <v>2233.3080099999997</v>
      </c>
      <c r="J1699" s="35">
        <f>496.6+211.4+1525.30801</f>
        <v>2233.3080099999997</v>
      </c>
      <c r="K1699" s="35">
        <f>495.499+130.57183+1491.81994</f>
        <v>2117.89077</v>
      </c>
      <c r="L1699" s="35">
        <f t="shared" ref="L1699:L1762" si="771">K1699/H1699*100</f>
        <v>79.965182088977699</v>
      </c>
      <c r="M1699" s="35">
        <f t="shared" ref="M1699:M1758" si="772">K1699/I1699*100</f>
        <v>94.832005281707652</v>
      </c>
    </row>
    <row r="1700" spans="1:13">
      <c r="A1700" s="59" t="s">
        <v>695</v>
      </c>
      <c r="B1700" s="28" t="s">
        <v>664</v>
      </c>
      <c r="C1700" s="28" t="s">
        <v>19</v>
      </c>
      <c r="D1700" s="28" t="s">
        <v>46</v>
      </c>
      <c r="E1700" s="28" t="s">
        <v>696</v>
      </c>
      <c r="F1700" s="58" t="s">
        <v>0</v>
      </c>
      <c r="G1700" s="35">
        <f>G1701</f>
        <v>1264.8</v>
      </c>
      <c r="H1700" s="35">
        <f t="shared" ref="H1700:K1701" si="773">H1701</f>
        <v>1264.8</v>
      </c>
      <c r="I1700" s="35">
        <f t="shared" si="773"/>
        <v>99</v>
      </c>
      <c r="J1700" s="35">
        <f t="shared" si="773"/>
        <v>99</v>
      </c>
      <c r="K1700" s="35">
        <f t="shared" si="773"/>
        <v>99</v>
      </c>
      <c r="L1700" s="35">
        <f t="shared" si="771"/>
        <v>7.8273244781783688</v>
      </c>
      <c r="M1700" s="35">
        <f t="shared" si="772"/>
        <v>100</v>
      </c>
    </row>
    <row r="1701" spans="1:13" ht="25.5">
      <c r="A1701" s="59" t="s">
        <v>64</v>
      </c>
      <c r="B1701" s="28" t="s">
        <v>664</v>
      </c>
      <c r="C1701" s="28" t="s">
        <v>19</v>
      </c>
      <c r="D1701" s="28" t="s">
        <v>46</v>
      </c>
      <c r="E1701" s="28" t="s">
        <v>696</v>
      </c>
      <c r="F1701" s="28" t="s">
        <v>65</v>
      </c>
      <c r="G1701" s="35">
        <f>G1702</f>
        <v>1264.8</v>
      </c>
      <c r="H1701" s="35">
        <f t="shared" si="773"/>
        <v>1264.8</v>
      </c>
      <c r="I1701" s="35">
        <f t="shared" si="773"/>
        <v>99</v>
      </c>
      <c r="J1701" s="35">
        <f t="shared" si="773"/>
        <v>99</v>
      </c>
      <c r="K1701" s="35">
        <f t="shared" si="773"/>
        <v>99</v>
      </c>
      <c r="L1701" s="35">
        <f t="shared" si="771"/>
        <v>7.8273244781783688</v>
      </c>
      <c r="M1701" s="35">
        <f t="shared" si="772"/>
        <v>100</v>
      </c>
    </row>
    <row r="1702" spans="1:13" ht="25.5">
      <c r="A1702" s="59" t="s">
        <v>66</v>
      </c>
      <c r="B1702" s="28" t="s">
        <v>664</v>
      </c>
      <c r="C1702" s="28" t="s">
        <v>19</v>
      </c>
      <c r="D1702" s="28" t="s">
        <v>46</v>
      </c>
      <c r="E1702" s="28" t="s">
        <v>696</v>
      </c>
      <c r="F1702" s="28" t="s">
        <v>67</v>
      </c>
      <c r="G1702" s="35">
        <v>1264.8</v>
      </c>
      <c r="H1702" s="35">
        <v>1264.8</v>
      </c>
      <c r="I1702" s="35">
        <v>99</v>
      </c>
      <c r="J1702" s="35">
        <v>99</v>
      </c>
      <c r="K1702" s="35">
        <v>99</v>
      </c>
      <c r="L1702" s="35">
        <f t="shared" si="771"/>
        <v>7.8273244781783688</v>
      </c>
      <c r="M1702" s="35">
        <f t="shared" si="772"/>
        <v>100</v>
      </c>
    </row>
    <row r="1703" spans="1:13" ht="38.25">
      <c r="A1703" s="59" t="s">
        <v>697</v>
      </c>
      <c r="B1703" s="28" t="s">
        <v>664</v>
      </c>
      <c r="C1703" s="28" t="s">
        <v>19</v>
      </c>
      <c r="D1703" s="28" t="s">
        <v>46</v>
      </c>
      <c r="E1703" s="28" t="s">
        <v>698</v>
      </c>
      <c r="F1703" s="58" t="s">
        <v>0</v>
      </c>
      <c r="G1703" s="35">
        <f>G1704</f>
        <v>446975.8</v>
      </c>
      <c r="H1703" s="35">
        <f t="shared" ref="H1703:K1704" si="774">H1704</f>
        <v>446975.8</v>
      </c>
      <c r="I1703" s="35">
        <f t="shared" si="774"/>
        <v>323324.13799999998</v>
      </c>
      <c r="J1703" s="35">
        <f t="shared" si="774"/>
        <v>323324.13799999998</v>
      </c>
      <c r="K1703" s="35">
        <f t="shared" si="774"/>
        <v>323295.97798999998</v>
      </c>
      <c r="L1703" s="35">
        <f t="shared" si="771"/>
        <v>72.329637978163476</v>
      </c>
      <c r="M1703" s="35">
        <f t="shared" si="772"/>
        <v>99.991290470864882</v>
      </c>
    </row>
    <row r="1704" spans="1:13">
      <c r="A1704" s="59" t="s">
        <v>72</v>
      </c>
      <c r="B1704" s="28" t="s">
        <v>664</v>
      </c>
      <c r="C1704" s="28" t="s">
        <v>19</v>
      </c>
      <c r="D1704" s="28" t="s">
        <v>46</v>
      </c>
      <c r="E1704" s="28" t="s">
        <v>698</v>
      </c>
      <c r="F1704" s="28" t="s">
        <v>73</v>
      </c>
      <c r="G1704" s="35">
        <f>G1705</f>
        <v>446975.8</v>
      </c>
      <c r="H1704" s="35">
        <f t="shared" si="774"/>
        <v>446975.8</v>
      </c>
      <c r="I1704" s="35">
        <f t="shared" si="774"/>
        <v>323324.13799999998</v>
      </c>
      <c r="J1704" s="35">
        <f t="shared" si="774"/>
        <v>323324.13799999998</v>
      </c>
      <c r="K1704" s="35">
        <f t="shared" si="774"/>
        <v>323295.97798999998</v>
      </c>
      <c r="L1704" s="35">
        <f t="shared" si="771"/>
        <v>72.329637978163476</v>
      </c>
      <c r="M1704" s="35">
        <f t="shared" si="772"/>
        <v>99.991290470864882</v>
      </c>
    </row>
    <row r="1705" spans="1:13">
      <c r="A1705" s="59" t="s">
        <v>74</v>
      </c>
      <c r="B1705" s="28" t="s">
        <v>664</v>
      </c>
      <c r="C1705" s="28" t="s">
        <v>19</v>
      </c>
      <c r="D1705" s="28" t="s">
        <v>46</v>
      </c>
      <c r="E1705" s="28" t="s">
        <v>698</v>
      </c>
      <c r="F1705" s="28" t="s">
        <v>75</v>
      </c>
      <c r="G1705" s="35">
        <v>446975.8</v>
      </c>
      <c r="H1705" s="35">
        <v>446975.8</v>
      </c>
      <c r="I1705" s="35">
        <v>323324.13799999998</v>
      </c>
      <c r="J1705" s="35">
        <v>323324.13799999998</v>
      </c>
      <c r="K1705" s="35">
        <v>323295.97798999998</v>
      </c>
      <c r="L1705" s="35">
        <f t="shared" si="771"/>
        <v>72.329637978163476</v>
      </c>
      <c r="M1705" s="35">
        <f t="shared" si="772"/>
        <v>99.991290470864882</v>
      </c>
    </row>
    <row r="1706" spans="1:13" ht="25.5">
      <c r="A1706" s="59" t="s">
        <v>699</v>
      </c>
      <c r="B1706" s="28" t="s">
        <v>664</v>
      </c>
      <c r="C1706" s="28" t="s">
        <v>19</v>
      </c>
      <c r="D1706" s="28" t="s">
        <v>46</v>
      </c>
      <c r="E1706" s="28" t="s">
        <v>700</v>
      </c>
      <c r="F1706" s="58" t="s">
        <v>0</v>
      </c>
      <c r="G1706" s="35">
        <f>G1707</f>
        <v>48629.1</v>
      </c>
      <c r="H1706" s="35">
        <f t="shared" ref="H1706:K1706" si="775">H1707</f>
        <v>48629.1</v>
      </c>
      <c r="I1706" s="35">
        <f t="shared" si="775"/>
        <v>40819.1</v>
      </c>
      <c r="J1706" s="35">
        <f t="shared" si="775"/>
        <v>40819.1</v>
      </c>
      <c r="K1706" s="35">
        <f t="shared" si="775"/>
        <v>40819.1</v>
      </c>
      <c r="L1706" s="35">
        <f t="shared" si="771"/>
        <v>83.939657530161981</v>
      </c>
      <c r="M1706" s="35">
        <f t="shared" si="772"/>
        <v>100</v>
      </c>
    </row>
    <row r="1707" spans="1:13" ht="38.25">
      <c r="A1707" s="59" t="s">
        <v>701</v>
      </c>
      <c r="B1707" s="28" t="s">
        <v>664</v>
      </c>
      <c r="C1707" s="28" t="s">
        <v>19</v>
      </c>
      <c r="D1707" s="28" t="s">
        <v>46</v>
      </c>
      <c r="E1707" s="28" t="s">
        <v>702</v>
      </c>
      <c r="F1707" s="58" t="s">
        <v>0</v>
      </c>
      <c r="G1707" s="35">
        <f>G1708+G1710</f>
        <v>48629.1</v>
      </c>
      <c r="H1707" s="35">
        <f t="shared" ref="H1707:K1707" si="776">H1708+H1710</f>
        <v>48629.1</v>
      </c>
      <c r="I1707" s="35">
        <f t="shared" si="776"/>
        <v>40819.1</v>
      </c>
      <c r="J1707" s="35">
        <f t="shared" si="776"/>
        <v>40819.1</v>
      </c>
      <c r="K1707" s="35">
        <f t="shared" si="776"/>
        <v>40819.1</v>
      </c>
      <c r="L1707" s="35">
        <f t="shared" si="771"/>
        <v>83.939657530161981</v>
      </c>
      <c r="M1707" s="35">
        <f t="shared" si="772"/>
        <v>100</v>
      </c>
    </row>
    <row r="1708" spans="1:13" ht="25.5">
      <c r="A1708" s="59" t="s">
        <v>64</v>
      </c>
      <c r="B1708" s="28" t="s">
        <v>664</v>
      </c>
      <c r="C1708" s="28" t="s">
        <v>19</v>
      </c>
      <c r="D1708" s="28" t="s">
        <v>46</v>
      </c>
      <c r="E1708" s="28" t="s">
        <v>702</v>
      </c>
      <c r="F1708" s="28" t="s">
        <v>65</v>
      </c>
      <c r="G1708" s="35">
        <f>G1709</f>
        <v>5000</v>
      </c>
      <c r="H1708" s="35">
        <f t="shared" ref="H1708:K1708" si="777">H1709</f>
        <v>5000</v>
      </c>
      <c r="I1708" s="35">
        <f t="shared" si="777"/>
        <v>160</v>
      </c>
      <c r="J1708" s="35">
        <f t="shared" si="777"/>
        <v>160</v>
      </c>
      <c r="K1708" s="35">
        <f t="shared" si="777"/>
        <v>160</v>
      </c>
      <c r="L1708" s="35">
        <f t="shared" si="771"/>
        <v>3.2</v>
      </c>
      <c r="M1708" s="35">
        <f t="shared" si="772"/>
        <v>100</v>
      </c>
    </row>
    <row r="1709" spans="1:13" ht="25.5">
      <c r="A1709" s="59" t="s">
        <v>66</v>
      </c>
      <c r="B1709" s="28" t="s">
        <v>664</v>
      </c>
      <c r="C1709" s="28" t="s">
        <v>19</v>
      </c>
      <c r="D1709" s="28" t="s">
        <v>46</v>
      </c>
      <c r="E1709" s="28" t="s">
        <v>702</v>
      </c>
      <c r="F1709" s="28" t="s">
        <v>67</v>
      </c>
      <c r="G1709" s="35">
        <v>5000</v>
      </c>
      <c r="H1709" s="35">
        <f>1085.18+3914.82</f>
        <v>5000</v>
      </c>
      <c r="I1709" s="35">
        <v>160</v>
      </c>
      <c r="J1709" s="35">
        <v>160</v>
      </c>
      <c r="K1709" s="35">
        <v>160</v>
      </c>
      <c r="L1709" s="35">
        <f t="shared" si="771"/>
        <v>3.2</v>
      </c>
      <c r="M1709" s="35">
        <f t="shared" si="772"/>
        <v>100</v>
      </c>
    </row>
    <row r="1710" spans="1:13" ht="25.5">
      <c r="A1710" s="59" t="s">
        <v>80</v>
      </c>
      <c r="B1710" s="28" t="s">
        <v>664</v>
      </c>
      <c r="C1710" s="28" t="s">
        <v>19</v>
      </c>
      <c r="D1710" s="28" t="s">
        <v>46</v>
      </c>
      <c r="E1710" s="28" t="s">
        <v>702</v>
      </c>
      <c r="F1710" s="28" t="s">
        <v>81</v>
      </c>
      <c r="G1710" s="35">
        <f>G1711</f>
        <v>43629.1</v>
      </c>
      <c r="H1710" s="35">
        <f t="shared" ref="H1710:K1710" si="778">H1711</f>
        <v>43629.1</v>
      </c>
      <c r="I1710" s="35">
        <f t="shared" si="778"/>
        <v>40659.1</v>
      </c>
      <c r="J1710" s="35">
        <f t="shared" si="778"/>
        <v>40659.1</v>
      </c>
      <c r="K1710" s="35">
        <f t="shared" si="778"/>
        <v>40659.1</v>
      </c>
      <c r="L1710" s="35">
        <f t="shared" si="771"/>
        <v>93.192616854347207</v>
      </c>
      <c r="M1710" s="35">
        <f t="shared" si="772"/>
        <v>100</v>
      </c>
    </row>
    <row r="1711" spans="1:13">
      <c r="A1711" s="59" t="s">
        <v>271</v>
      </c>
      <c r="B1711" s="28" t="s">
        <v>664</v>
      </c>
      <c r="C1711" s="28" t="s">
        <v>19</v>
      </c>
      <c r="D1711" s="28" t="s">
        <v>46</v>
      </c>
      <c r="E1711" s="28" t="s">
        <v>702</v>
      </c>
      <c r="F1711" s="28" t="s">
        <v>272</v>
      </c>
      <c r="G1711" s="35">
        <v>43629.1</v>
      </c>
      <c r="H1711" s="35">
        <v>43629.1</v>
      </c>
      <c r="I1711" s="35">
        <v>40659.1</v>
      </c>
      <c r="J1711" s="35">
        <v>40659.1</v>
      </c>
      <c r="K1711" s="35">
        <v>40659.1</v>
      </c>
      <c r="L1711" s="35">
        <f t="shared" si="771"/>
        <v>93.192616854347207</v>
      </c>
      <c r="M1711" s="35">
        <f t="shared" si="772"/>
        <v>100</v>
      </c>
    </row>
    <row r="1712" spans="1:13" ht="38.25">
      <c r="A1712" s="59" t="s">
        <v>122</v>
      </c>
      <c r="B1712" s="28" t="s">
        <v>664</v>
      </c>
      <c r="C1712" s="28" t="s">
        <v>19</v>
      </c>
      <c r="D1712" s="28" t="s">
        <v>46</v>
      </c>
      <c r="E1712" s="28" t="s">
        <v>123</v>
      </c>
      <c r="F1712" s="58" t="s">
        <v>0</v>
      </c>
      <c r="G1712" s="35">
        <f>G1713</f>
        <v>4500</v>
      </c>
      <c r="H1712" s="35">
        <f t="shared" ref="H1712:K1714" si="779">H1713</f>
        <v>4500</v>
      </c>
      <c r="I1712" s="35">
        <f t="shared" si="779"/>
        <v>2512.4</v>
      </c>
      <c r="J1712" s="35">
        <f t="shared" si="779"/>
        <v>2512.4</v>
      </c>
      <c r="K1712" s="35">
        <f t="shared" si="779"/>
        <v>2512.4</v>
      </c>
      <c r="L1712" s="35">
        <f t="shared" si="771"/>
        <v>55.831111111111106</v>
      </c>
      <c r="M1712" s="35">
        <f t="shared" si="772"/>
        <v>100</v>
      </c>
    </row>
    <row r="1713" spans="1:13" ht="38.25">
      <c r="A1713" s="59" t="s">
        <v>37</v>
      </c>
      <c r="B1713" s="28" t="s">
        <v>664</v>
      </c>
      <c r="C1713" s="28" t="s">
        <v>19</v>
      </c>
      <c r="D1713" s="28" t="s">
        <v>46</v>
      </c>
      <c r="E1713" s="28" t="s">
        <v>703</v>
      </c>
      <c r="F1713" s="58" t="s">
        <v>0</v>
      </c>
      <c r="G1713" s="35">
        <f>G1714</f>
        <v>4500</v>
      </c>
      <c r="H1713" s="35">
        <f t="shared" si="779"/>
        <v>4500</v>
      </c>
      <c r="I1713" s="35">
        <f t="shared" si="779"/>
        <v>2512.4</v>
      </c>
      <c r="J1713" s="35">
        <f t="shared" si="779"/>
        <v>2512.4</v>
      </c>
      <c r="K1713" s="35">
        <f t="shared" si="779"/>
        <v>2512.4</v>
      </c>
      <c r="L1713" s="35">
        <f t="shared" si="771"/>
        <v>55.831111111111106</v>
      </c>
      <c r="M1713" s="35">
        <f t="shared" si="772"/>
        <v>100</v>
      </c>
    </row>
    <row r="1714" spans="1:13" ht="25.5">
      <c r="A1714" s="59" t="s">
        <v>39</v>
      </c>
      <c r="B1714" s="28" t="s">
        <v>664</v>
      </c>
      <c r="C1714" s="28" t="s">
        <v>19</v>
      </c>
      <c r="D1714" s="28" t="s">
        <v>46</v>
      </c>
      <c r="E1714" s="28" t="s">
        <v>703</v>
      </c>
      <c r="F1714" s="28" t="s">
        <v>40</v>
      </c>
      <c r="G1714" s="35">
        <f>G1715</f>
        <v>4500</v>
      </c>
      <c r="H1714" s="35">
        <f t="shared" si="779"/>
        <v>4500</v>
      </c>
      <c r="I1714" s="35">
        <f t="shared" si="779"/>
        <v>2512.4</v>
      </c>
      <c r="J1714" s="35">
        <f t="shared" si="779"/>
        <v>2512.4</v>
      </c>
      <c r="K1714" s="35">
        <f t="shared" si="779"/>
        <v>2512.4</v>
      </c>
      <c r="L1714" s="35">
        <f t="shared" si="771"/>
        <v>55.831111111111106</v>
      </c>
      <c r="M1714" s="35">
        <f t="shared" si="772"/>
        <v>100</v>
      </c>
    </row>
    <row r="1715" spans="1:13">
      <c r="A1715" s="59" t="s">
        <v>41</v>
      </c>
      <c r="B1715" s="28" t="s">
        <v>664</v>
      </c>
      <c r="C1715" s="28" t="s">
        <v>19</v>
      </c>
      <c r="D1715" s="28" t="s">
        <v>46</v>
      </c>
      <c r="E1715" s="28" t="s">
        <v>703</v>
      </c>
      <c r="F1715" s="28" t="s">
        <v>42</v>
      </c>
      <c r="G1715" s="35">
        <v>4500</v>
      </c>
      <c r="H1715" s="35">
        <v>4500</v>
      </c>
      <c r="I1715" s="35">
        <v>2512.4</v>
      </c>
      <c r="J1715" s="35">
        <v>2512.4</v>
      </c>
      <c r="K1715" s="35">
        <v>2512.4</v>
      </c>
      <c r="L1715" s="35">
        <f t="shared" si="771"/>
        <v>55.831111111111106</v>
      </c>
      <c r="M1715" s="35">
        <f t="shared" si="772"/>
        <v>100</v>
      </c>
    </row>
    <row r="1716" spans="1:13">
      <c r="A1716" s="62" t="s">
        <v>612</v>
      </c>
      <c r="B1716" s="28" t="s">
        <v>664</v>
      </c>
      <c r="C1716" s="28" t="s">
        <v>19</v>
      </c>
      <c r="D1716" s="28" t="s">
        <v>46</v>
      </c>
      <c r="E1716" s="29" t="s">
        <v>613</v>
      </c>
      <c r="F1716" s="28"/>
      <c r="G1716" s="35"/>
      <c r="H1716" s="35">
        <f>H1717</f>
        <v>5670.4834000000001</v>
      </c>
      <c r="I1716" s="35">
        <f t="shared" ref="I1716:K1718" si="780">I1717</f>
        <v>5670.4834000000001</v>
      </c>
      <c r="J1716" s="35">
        <f t="shared" si="780"/>
        <v>5670.4834000000001</v>
      </c>
      <c r="K1716" s="35">
        <f t="shared" si="780"/>
        <v>5670.4834000000001</v>
      </c>
      <c r="L1716" s="35">
        <f t="shared" si="771"/>
        <v>100</v>
      </c>
      <c r="M1716" s="35">
        <f t="shared" si="772"/>
        <v>100</v>
      </c>
    </row>
    <row r="1717" spans="1:13">
      <c r="A1717" s="62" t="s">
        <v>612</v>
      </c>
      <c r="B1717" s="28" t="s">
        <v>664</v>
      </c>
      <c r="C1717" s="28" t="s">
        <v>19</v>
      </c>
      <c r="D1717" s="28" t="s">
        <v>46</v>
      </c>
      <c r="E1717" s="29" t="s">
        <v>614</v>
      </c>
      <c r="F1717" s="28"/>
      <c r="G1717" s="35"/>
      <c r="H1717" s="35">
        <f>H1718</f>
        <v>5670.4834000000001</v>
      </c>
      <c r="I1717" s="35">
        <f t="shared" si="780"/>
        <v>5670.4834000000001</v>
      </c>
      <c r="J1717" s="35">
        <f t="shared" si="780"/>
        <v>5670.4834000000001</v>
      </c>
      <c r="K1717" s="35">
        <f t="shared" si="780"/>
        <v>5670.4834000000001</v>
      </c>
      <c r="L1717" s="35">
        <f t="shared" si="771"/>
        <v>100</v>
      </c>
      <c r="M1717" s="35">
        <f t="shared" si="772"/>
        <v>100</v>
      </c>
    </row>
    <row r="1718" spans="1:13">
      <c r="A1718" s="62" t="s">
        <v>26</v>
      </c>
      <c r="B1718" s="28" t="s">
        <v>664</v>
      </c>
      <c r="C1718" s="28" t="s">
        <v>19</v>
      </c>
      <c r="D1718" s="28" t="s">
        <v>46</v>
      </c>
      <c r="E1718" s="29" t="s">
        <v>614</v>
      </c>
      <c r="F1718" s="28">
        <v>500</v>
      </c>
      <c r="G1718" s="35"/>
      <c r="H1718" s="35">
        <f>H1719</f>
        <v>5670.4834000000001</v>
      </c>
      <c r="I1718" s="35">
        <f t="shared" si="780"/>
        <v>5670.4834000000001</v>
      </c>
      <c r="J1718" s="35">
        <f t="shared" si="780"/>
        <v>5670.4834000000001</v>
      </c>
      <c r="K1718" s="35">
        <f t="shared" si="780"/>
        <v>5670.4834000000001</v>
      </c>
      <c r="L1718" s="35">
        <f t="shared" si="771"/>
        <v>100</v>
      </c>
      <c r="M1718" s="35">
        <f t="shared" si="772"/>
        <v>100</v>
      </c>
    </row>
    <row r="1719" spans="1:13">
      <c r="A1719" s="62" t="s">
        <v>352</v>
      </c>
      <c r="B1719" s="28" t="s">
        <v>664</v>
      </c>
      <c r="C1719" s="28" t="s">
        <v>19</v>
      </c>
      <c r="D1719" s="28" t="s">
        <v>46</v>
      </c>
      <c r="E1719" s="29" t="s">
        <v>614</v>
      </c>
      <c r="F1719" s="28">
        <v>540</v>
      </c>
      <c r="G1719" s="35"/>
      <c r="H1719" s="35">
        <v>5670.4834000000001</v>
      </c>
      <c r="I1719" s="35">
        <v>5670.4834000000001</v>
      </c>
      <c r="J1719" s="35">
        <v>5670.4834000000001</v>
      </c>
      <c r="K1719" s="35">
        <v>5670.4834000000001</v>
      </c>
      <c r="L1719" s="35">
        <f t="shared" si="771"/>
        <v>100</v>
      </c>
      <c r="M1719" s="35">
        <f t="shared" si="772"/>
        <v>100</v>
      </c>
    </row>
    <row r="1720" spans="1:13" ht="25.5">
      <c r="A1720" s="59" t="s">
        <v>704</v>
      </c>
      <c r="B1720" s="28" t="s">
        <v>664</v>
      </c>
      <c r="C1720" s="28" t="s">
        <v>19</v>
      </c>
      <c r="D1720" s="28" t="s">
        <v>46</v>
      </c>
      <c r="E1720" s="28" t="s">
        <v>705</v>
      </c>
      <c r="F1720" s="58" t="s">
        <v>0</v>
      </c>
      <c r="G1720" s="35">
        <f>G1721+G1726</f>
        <v>325303.3</v>
      </c>
      <c r="H1720" s="35">
        <f t="shared" ref="H1720:K1720" si="781">H1721+H1726</f>
        <v>325303.26299999998</v>
      </c>
      <c r="I1720" s="35">
        <f t="shared" si="781"/>
        <v>265630.84600000002</v>
      </c>
      <c r="J1720" s="35">
        <f t="shared" si="781"/>
        <v>265630.84600000002</v>
      </c>
      <c r="K1720" s="35">
        <f t="shared" si="781"/>
        <v>257629.2066</v>
      </c>
      <c r="L1720" s="35">
        <f t="shared" si="771"/>
        <v>79.19662539628446</v>
      </c>
      <c r="M1720" s="35">
        <f t="shared" si="772"/>
        <v>96.987684404694477</v>
      </c>
    </row>
    <row r="1721" spans="1:13" ht="51">
      <c r="A1721" s="59" t="s">
        <v>706</v>
      </c>
      <c r="B1721" s="28" t="s">
        <v>664</v>
      </c>
      <c r="C1721" s="28" t="s">
        <v>19</v>
      </c>
      <c r="D1721" s="28" t="s">
        <v>46</v>
      </c>
      <c r="E1721" s="28" t="s">
        <v>707</v>
      </c>
      <c r="F1721" s="58" t="s">
        <v>0</v>
      </c>
      <c r="G1721" s="35">
        <f>G1724</f>
        <v>76462.399999999994</v>
      </c>
      <c r="H1721" s="35">
        <f>H1724+H1722</f>
        <v>76462.362999999998</v>
      </c>
      <c r="I1721" s="35">
        <f t="shared" ref="I1721:K1721" si="782">I1724+I1722</f>
        <v>55236.146000000001</v>
      </c>
      <c r="J1721" s="35">
        <f t="shared" si="782"/>
        <v>55236.146000000001</v>
      </c>
      <c r="K1721" s="35">
        <f t="shared" si="782"/>
        <v>55236.146000000001</v>
      </c>
      <c r="L1721" s="35">
        <f t="shared" si="771"/>
        <v>72.23965338345613</v>
      </c>
      <c r="M1721" s="35">
        <f t="shared" si="772"/>
        <v>100</v>
      </c>
    </row>
    <row r="1722" spans="1:13" ht="25.5">
      <c r="A1722" s="59" t="s">
        <v>64</v>
      </c>
      <c r="B1722" s="28" t="s">
        <v>664</v>
      </c>
      <c r="C1722" s="28" t="s">
        <v>19</v>
      </c>
      <c r="D1722" s="28" t="s">
        <v>46</v>
      </c>
      <c r="E1722" s="28" t="s">
        <v>707</v>
      </c>
      <c r="F1722" s="28">
        <v>200</v>
      </c>
      <c r="G1722" s="35"/>
      <c r="H1722" s="35">
        <f>H1723</f>
        <v>60797.084000000003</v>
      </c>
      <c r="I1722" s="35">
        <f t="shared" ref="I1722:K1722" si="783">I1723</f>
        <v>55236.146000000001</v>
      </c>
      <c r="J1722" s="35">
        <f t="shared" si="783"/>
        <v>55236.146000000001</v>
      </c>
      <c r="K1722" s="35">
        <f t="shared" si="783"/>
        <v>55236.146000000001</v>
      </c>
      <c r="L1722" s="35">
        <f t="shared" si="771"/>
        <v>90.853281713313748</v>
      </c>
      <c r="M1722" s="35">
        <f t="shared" si="772"/>
        <v>100</v>
      </c>
    </row>
    <row r="1723" spans="1:13" ht="25.5">
      <c r="A1723" s="59" t="s">
        <v>66</v>
      </c>
      <c r="B1723" s="28" t="s">
        <v>664</v>
      </c>
      <c r="C1723" s="28" t="s">
        <v>19</v>
      </c>
      <c r="D1723" s="28" t="s">
        <v>46</v>
      </c>
      <c r="E1723" s="28" t="s">
        <v>707</v>
      </c>
      <c r="F1723" s="28">
        <v>240</v>
      </c>
      <c r="G1723" s="35"/>
      <c r="H1723" s="35">
        <v>60797.084000000003</v>
      </c>
      <c r="I1723" s="35">
        <v>55236.146000000001</v>
      </c>
      <c r="J1723" s="35">
        <v>55236.146000000001</v>
      </c>
      <c r="K1723" s="35">
        <v>55236.146000000001</v>
      </c>
      <c r="L1723" s="35">
        <f t="shared" si="771"/>
        <v>90.853281713313748</v>
      </c>
      <c r="M1723" s="35">
        <f t="shared" si="772"/>
        <v>100</v>
      </c>
    </row>
    <row r="1724" spans="1:13">
      <c r="A1724" s="59" t="s">
        <v>72</v>
      </c>
      <c r="B1724" s="28" t="s">
        <v>664</v>
      </c>
      <c r="C1724" s="28" t="s">
        <v>19</v>
      </c>
      <c r="D1724" s="28" t="s">
        <v>46</v>
      </c>
      <c r="E1724" s="28" t="s">
        <v>707</v>
      </c>
      <c r="F1724" s="28" t="s">
        <v>73</v>
      </c>
      <c r="G1724" s="35">
        <f>G1725</f>
        <v>76462.399999999994</v>
      </c>
      <c r="H1724" s="35">
        <f t="shared" ref="H1724:K1724" si="784">H1725</f>
        <v>15665.279</v>
      </c>
      <c r="I1724" s="35">
        <f t="shared" si="784"/>
        <v>0</v>
      </c>
      <c r="J1724" s="35">
        <f t="shared" si="784"/>
        <v>0</v>
      </c>
      <c r="K1724" s="35">
        <f t="shared" si="784"/>
        <v>0</v>
      </c>
      <c r="L1724" s="35">
        <f t="shared" si="771"/>
        <v>0</v>
      </c>
      <c r="M1724" s="35">
        <v>0</v>
      </c>
    </row>
    <row r="1725" spans="1:13">
      <c r="A1725" s="59" t="s">
        <v>369</v>
      </c>
      <c r="B1725" s="28" t="s">
        <v>664</v>
      </c>
      <c r="C1725" s="28" t="s">
        <v>19</v>
      </c>
      <c r="D1725" s="28" t="s">
        <v>46</v>
      </c>
      <c r="E1725" s="28" t="s">
        <v>707</v>
      </c>
      <c r="F1725" s="28" t="s">
        <v>370</v>
      </c>
      <c r="G1725" s="35">
        <v>76462.399999999994</v>
      </c>
      <c r="H1725" s="35">
        <v>15665.279</v>
      </c>
      <c r="I1725" s="35">
        <v>0</v>
      </c>
      <c r="J1725" s="35">
        <v>0</v>
      </c>
      <c r="K1725" s="35">
        <v>0</v>
      </c>
      <c r="L1725" s="35">
        <f t="shared" si="771"/>
        <v>0</v>
      </c>
      <c r="M1725" s="35">
        <v>0</v>
      </c>
    </row>
    <row r="1726" spans="1:13" ht="102">
      <c r="A1726" s="59" t="s">
        <v>708</v>
      </c>
      <c r="B1726" s="28" t="s">
        <v>664</v>
      </c>
      <c r="C1726" s="28" t="s">
        <v>19</v>
      </c>
      <c r="D1726" s="28" t="s">
        <v>46</v>
      </c>
      <c r="E1726" s="28" t="s">
        <v>709</v>
      </c>
      <c r="F1726" s="58" t="s">
        <v>0</v>
      </c>
      <c r="G1726" s="35">
        <f>G1727</f>
        <v>248840.9</v>
      </c>
      <c r="H1726" s="35">
        <f t="shared" ref="H1726:K1727" si="785">H1727</f>
        <v>248840.9</v>
      </c>
      <c r="I1726" s="35">
        <f t="shared" si="785"/>
        <v>210394.7</v>
      </c>
      <c r="J1726" s="35">
        <f t="shared" si="785"/>
        <v>210394.7</v>
      </c>
      <c r="K1726" s="35">
        <f t="shared" si="785"/>
        <v>202393.0606</v>
      </c>
      <c r="L1726" s="35">
        <f t="shared" si="771"/>
        <v>81.334322693737249</v>
      </c>
      <c r="M1726" s="35">
        <f t="shared" si="772"/>
        <v>96.196843646726833</v>
      </c>
    </row>
    <row r="1727" spans="1:13">
      <c r="A1727" s="59" t="s">
        <v>26</v>
      </c>
      <c r="B1727" s="28" t="s">
        <v>664</v>
      </c>
      <c r="C1727" s="28" t="s">
        <v>19</v>
      </c>
      <c r="D1727" s="28" t="s">
        <v>46</v>
      </c>
      <c r="E1727" s="28" t="s">
        <v>709</v>
      </c>
      <c r="F1727" s="28" t="s">
        <v>27</v>
      </c>
      <c r="G1727" s="35">
        <f>G1728</f>
        <v>248840.9</v>
      </c>
      <c r="H1727" s="35">
        <f t="shared" si="785"/>
        <v>248840.9</v>
      </c>
      <c r="I1727" s="35">
        <f t="shared" si="785"/>
        <v>210394.7</v>
      </c>
      <c r="J1727" s="35">
        <f t="shared" si="785"/>
        <v>210394.7</v>
      </c>
      <c r="K1727" s="35">
        <f t="shared" si="785"/>
        <v>202393.0606</v>
      </c>
      <c r="L1727" s="35">
        <f t="shared" si="771"/>
        <v>81.334322693737249</v>
      </c>
      <c r="M1727" s="35">
        <f t="shared" si="772"/>
        <v>96.196843646726833</v>
      </c>
    </row>
    <row r="1728" spans="1:13">
      <c r="A1728" s="59" t="s">
        <v>56</v>
      </c>
      <c r="B1728" s="28" t="s">
        <v>664</v>
      </c>
      <c r="C1728" s="28" t="s">
        <v>19</v>
      </c>
      <c r="D1728" s="28" t="s">
        <v>46</v>
      </c>
      <c r="E1728" s="28" t="s">
        <v>709</v>
      </c>
      <c r="F1728" s="28" t="s">
        <v>57</v>
      </c>
      <c r="G1728" s="35">
        <v>248840.9</v>
      </c>
      <c r="H1728" s="35">
        <v>248840.9</v>
      </c>
      <c r="I1728" s="35">
        <v>210394.7</v>
      </c>
      <c r="J1728" s="35">
        <v>210394.7</v>
      </c>
      <c r="K1728" s="35">
        <v>202393.0606</v>
      </c>
      <c r="L1728" s="35">
        <f t="shared" si="771"/>
        <v>81.334322693737249</v>
      </c>
      <c r="M1728" s="35">
        <f t="shared" si="772"/>
        <v>96.196843646726833</v>
      </c>
    </row>
    <row r="1729" spans="1:13" hidden="1">
      <c r="A1729" s="59" t="s">
        <v>710</v>
      </c>
      <c r="B1729" s="28" t="s">
        <v>664</v>
      </c>
      <c r="C1729" s="28" t="s">
        <v>19</v>
      </c>
      <c r="D1729" s="28" t="s">
        <v>148</v>
      </c>
      <c r="E1729" s="58" t="s">
        <v>0</v>
      </c>
      <c r="F1729" s="58" t="s">
        <v>0</v>
      </c>
      <c r="G1729" s="35">
        <f>G1730</f>
        <v>0</v>
      </c>
      <c r="H1729" s="35">
        <f t="shared" ref="H1729:K1733" si="786">H1730</f>
        <v>0</v>
      </c>
      <c r="I1729" s="35">
        <f t="shared" si="786"/>
        <v>0</v>
      </c>
      <c r="J1729" s="35">
        <f t="shared" si="786"/>
        <v>0</v>
      </c>
      <c r="K1729" s="35">
        <f t="shared" si="786"/>
        <v>0</v>
      </c>
      <c r="L1729" s="35" t="e">
        <f t="shared" si="771"/>
        <v>#DIV/0!</v>
      </c>
      <c r="M1729" s="35" t="e">
        <f t="shared" si="772"/>
        <v>#DIV/0!</v>
      </c>
    </row>
    <row r="1730" spans="1:13" ht="38.25" hidden="1">
      <c r="A1730" s="59" t="s">
        <v>665</v>
      </c>
      <c r="B1730" s="28" t="s">
        <v>664</v>
      </c>
      <c r="C1730" s="28" t="s">
        <v>19</v>
      </c>
      <c r="D1730" s="28" t="s">
        <v>148</v>
      </c>
      <c r="E1730" s="28" t="s">
        <v>666</v>
      </c>
      <c r="F1730" s="58" t="s">
        <v>0</v>
      </c>
      <c r="G1730" s="35">
        <f>G1731</f>
        <v>0</v>
      </c>
      <c r="H1730" s="35">
        <f t="shared" si="786"/>
        <v>0</v>
      </c>
      <c r="I1730" s="35">
        <f t="shared" si="786"/>
        <v>0</v>
      </c>
      <c r="J1730" s="35">
        <f t="shared" si="786"/>
        <v>0</v>
      </c>
      <c r="K1730" s="35">
        <f t="shared" si="786"/>
        <v>0</v>
      </c>
      <c r="L1730" s="35" t="e">
        <f t="shared" si="771"/>
        <v>#DIV/0!</v>
      </c>
      <c r="M1730" s="35" t="e">
        <f t="shared" si="772"/>
        <v>#DIV/0!</v>
      </c>
    </row>
    <row r="1731" spans="1:13" ht="38.25" hidden="1">
      <c r="A1731" s="59" t="s">
        <v>667</v>
      </c>
      <c r="B1731" s="28" t="s">
        <v>664</v>
      </c>
      <c r="C1731" s="28" t="s">
        <v>19</v>
      </c>
      <c r="D1731" s="28" t="s">
        <v>148</v>
      </c>
      <c r="E1731" s="28" t="s">
        <v>668</v>
      </c>
      <c r="F1731" s="58" t="s">
        <v>0</v>
      </c>
      <c r="G1731" s="35">
        <f>G1732</f>
        <v>0</v>
      </c>
      <c r="H1731" s="35">
        <f t="shared" si="786"/>
        <v>0</v>
      </c>
      <c r="I1731" s="35">
        <f t="shared" si="786"/>
        <v>0</v>
      </c>
      <c r="J1731" s="35">
        <f t="shared" si="786"/>
        <v>0</v>
      </c>
      <c r="K1731" s="35">
        <f t="shared" si="786"/>
        <v>0</v>
      </c>
      <c r="L1731" s="35" t="e">
        <f t="shared" si="771"/>
        <v>#DIV/0!</v>
      </c>
      <c r="M1731" s="35" t="e">
        <f t="shared" si="772"/>
        <v>#DIV/0!</v>
      </c>
    </row>
    <row r="1732" spans="1:13" ht="25.5" hidden="1">
      <c r="A1732" s="59" t="s">
        <v>76</v>
      </c>
      <c r="B1732" s="28" t="s">
        <v>664</v>
      </c>
      <c r="C1732" s="28" t="s">
        <v>19</v>
      </c>
      <c r="D1732" s="28" t="s">
        <v>148</v>
      </c>
      <c r="E1732" s="28" t="s">
        <v>694</v>
      </c>
      <c r="F1732" s="58" t="s">
        <v>0</v>
      </c>
      <c r="G1732" s="35">
        <f>G1733</f>
        <v>0</v>
      </c>
      <c r="H1732" s="35">
        <f t="shared" si="786"/>
        <v>0</v>
      </c>
      <c r="I1732" s="35">
        <f t="shared" si="786"/>
        <v>0</v>
      </c>
      <c r="J1732" s="35">
        <f t="shared" si="786"/>
        <v>0</v>
      </c>
      <c r="K1732" s="35">
        <f t="shared" si="786"/>
        <v>0</v>
      </c>
      <c r="L1732" s="35" t="e">
        <f t="shared" si="771"/>
        <v>#DIV/0!</v>
      </c>
      <c r="M1732" s="35" t="e">
        <f t="shared" si="772"/>
        <v>#DIV/0!</v>
      </c>
    </row>
    <row r="1733" spans="1:13" ht="25.5" hidden="1">
      <c r="A1733" s="59" t="s">
        <v>80</v>
      </c>
      <c r="B1733" s="28" t="s">
        <v>664</v>
      </c>
      <c r="C1733" s="28" t="s">
        <v>19</v>
      </c>
      <c r="D1733" s="28" t="s">
        <v>148</v>
      </c>
      <c r="E1733" s="28" t="s">
        <v>694</v>
      </c>
      <c r="F1733" s="28" t="s">
        <v>81</v>
      </c>
      <c r="G1733" s="35">
        <f>G1734</f>
        <v>0</v>
      </c>
      <c r="H1733" s="35">
        <f t="shared" si="786"/>
        <v>0</v>
      </c>
      <c r="I1733" s="35">
        <f t="shared" si="786"/>
        <v>0</v>
      </c>
      <c r="J1733" s="35">
        <f t="shared" si="786"/>
        <v>0</v>
      </c>
      <c r="K1733" s="35">
        <f t="shared" si="786"/>
        <v>0</v>
      </c>
      <c r="L1733" s="35" t="e">
        <f t="shared" si="771"/>
        <v>#DIV/0!</v>
      </c>
      <c r="M1733" s="35" t="e">
        <f t="shared" si="772"/>
        <v>#DIV/0!</v>
      </c>
    </row>
    <row r="1734" spans="1:13" hidden="1">
      <c r="A1734" s="59" t="s">
        <v>271</v>
      </c>
      <c r="B1734" s="28" t="s">
        <v>664</v>
      </c>
      <c r="C1734" s="28" t="s">
        <v>19</v>
      </c>
      <c r="D1734" s="28" t="s">
        <v>148</v>
      </c>
      <c r="E1734" s="28" t="s">
        <v>694</v>
      </c>
      <c r="F1734" s="28" t="s">
        <v>272</v>
      </c>
      <c r="G1734" s="35"/>
      <c r="H1734" s="35">
        <v>0</v>
      </c>
      <c r="I1734" s="35">
        <v>0</v>
      </c>
      <c r="J1734" s="35">
        <v>0</v>
      </c>
      <c r="K1734" s="35">
        <v>0</v>
      </c>
      <c r="L1734" s="35" t="e">
        <f t="shared" si="771"/>
        <v>#DIV/0!</v>
      </c>
      <c r="M1734" s="35" t="e">
        <f t="shared" si="772"/>
        <v>#DIV/0!</v>
      </c>
    </row>
    <row r="1735" spans="1:13">
      <c r="A1735" s="64" t="s">
        <v>0</v>
      </c>
      <c r="B1735" s="65" t="s">
        <v>0</v>
      </c>
      <c r="C1735" s="58" t="s">
        <v>0</v>
      </c>
      <c r="D1735" s="58" t="s">
        <v>0</v>
      </c>
      <c r="E1735" s="58" t="s">
        <v>0</v>
      </c>
      <c r="F1735" s="58" t="s">
        <v>0</v>
      </c>
      <c r="G1735" s="66" t="s">
        <v>0</v>
      </c>
      <c r="H1735" s="66" t="s">
        <v>0</v>
      </c>
      <c r="I1735" s="66" t="s">
        <v>0</v>
      </c>
      <c r="J1735" s="66" t="s">
        <v>0</v>
      </c>
      <c r="K1735" s="66" t="s">
        <v>0</v>
      </c>
      <c r="L1735" s="35"/>
      <c r="M1735" s="35"/>
    </row>
    <row r="1736" spans="1:13" ht="25.5">
      <c r="A1736" s="56" t="s">
        <v>711</v>
      </c>
      <c r="B1736" s="57" t="s">
        <v>712</v>
      </c>
      <c r="C1736" s="58" t="s">
        <v>0</v>
      </c>
      <c r="D1736" s="58" t="s">
        <v>0</v>
      </c>
      <c r="E1736" s="58" t="s">
        <v>0</v>
      </c>
      <c r="F1736" s="58" t="s">
        <v>0</v>
      </c>
      <c r="G1736" s="30">
        <f>G1737+G1752</f>
        <v>102548.2</v>
      </c>
      <c r="H1736" s="30">
        <f t="shared" ref="H1736:K1736" si="787">H1737+H1752</f>
        <v>180819.12299999996</v>
      </c>
      <c r="I1736" s="30">
        <f t="shared" si="787"/>
        <v>76304.028579999998</v>
      </c>
      <c r="J1736" s="30">
        <f t="shared" si="787"/>
        <v>76304.028549999988</v>
      </c>
      <c r="K1736" s="30">
        <f t="shared" si="787"/>
        <v>75452.00800999999</v>
      </c>
      <c r="L1736" s="30">
        <f t="shared" si="771"/>
        <v>41.727891806001075</v>
      </c>
      <c r="M1736" s="30">
        <f t="shared" si="772"/>
        <v>98.883387173841399</v>
      </c>
    </row>
    <row r="1737" spans="1:13">
      <c r="A1737" s="59" t="s">
        <v>16</v>
      </c>
      <c r="B1737" s="28" t="s">
        <v>712</v>
      </c>
      <c r="C1737" s="28" t="s">
        <v>17</v>
      </c>
      <c r="D1737" s="58" t="s">
        <v>0</v>
      </c>
      <c r="E1737" s="58" t="s">
        <v>0</v>
      </c>
      <c r="F1737" s="58" t="s">
        <v>0</v>
      </c>
      <c r="G1737" s="35">
        <f>G1738</f>
        <v>45547.5</v>
      </c>
      <c r="H1737" s="35">
        <f t="shared" ref="H1737:K1739" si="788">H1738</f>
        <v>49065.006999999998</v>
      </c>
      <c r="I1737" s="35">
        <f t="shared" si="788"/>
        <v>33865.095580000001</v>
      </c>
      <c r="J1737" s="35">
        <f t="shared" si="788"/>
        <v>33865.095549999998</v>
      </c>
      <c r="K1737" s="35">
        <f t="shared" si="788"/>
        <v>33062.635009999998</v>
      </c>
      <c r="L1737" s="35">
        <f t="shared" si="771"/>
        <v>67.385366947975783</v>
      </c>
      <c r="M1737" s="35">
        <f t="shared" si="772"/>
        <v>97.630419887331072</v>
      </c>
    </row>
    <row r="1738" spans="1:13">
      <c r="A1738" s="59" t="s">
        <v>386</v>
      </c>
      <c r="B1738" s="28" t="s">
        <v>712</v>
      </c>
      <c r="C1738" s="28" t="s">
        <v>17</v>
      </c>
      <c r="D1738" s="28" t="s">
        <v>387</v>
      </c>
      <c r="E1738" s="58" t="s">
        <v>0</v>
      </c>
      <c r="F1738" s="58" t="s">
        <v>0</v>
      </c>
      <c r="G1738" s="35">
        <f>G1739</f>
        <v>45547.5</v>
      </c>
      <c r="H1738" s="35">
        <f t="shared" si="788"/>
        <v>49065.006999999998</v>
      </c>
      <c r="I1738" s="35">
        <f t="shared" si="788"/>
        <v>33865.095580000001</v>
      </c>
      <c r="J1738" s="35">
        <f t="shared" si="788"/>
        <v>33865.095549999998</v>
      </c>
      <c r="K1738" s="35">
        <f t="shared" si="788"/>
        <v>33062.635009999998</v>
      </c>
      <c r="L1738" s="35">
        <f t="shared" si="771"/>
        <v>67.385366947975783</v>
      </c>
      <c r="M1738" s="35">
        <f t="shared" si="772"/>
        <v>97.630419887331072</v>
      </c>
    </row>
    <row r="1739" spans="1:13" ht="51">
      <c r="A1739" s="59" t="s">
        <v>713</v>
      </c>
      <c r="B1739" s="28" t="s">
        <v>712</v>
      </c>
      <c r="C1739" s="28" t="s">
        <v>17</v>
      </c>
      <c r="D1739" s="28" t="s">
        <v>387</v>
      </c>
      <c r="E1739" s="28" t="s">
        <v>714</v>
      </c>
      <c r="F1739" s="58" t="s">
        <v>0</v>
      </c>
      <c r="G1739" s="35">
        <f>G1740</f>
        <v>45547.5</v>
      </c>
      <c r="H1739" s="35">
        <f t="shared" si="788"/>
        <v>49065.006999999998</v>
      </c>
      <c r="I1739" s="35">
        <f t="shared" si="788"/>
        <v>33865.095580000001</v>
      </c>
      <c r="J1739" s="35">
        <f t="shared" si="788"/>
        <v>33865.095549999998</v>
      </c>
      <c r="K1739" s="35">
        <f t="shared" si="788"/>
        <v>33062.635009999998</v>
      </c>
      <c r="L1739" s="35">
        <f t="shared" si="771"/>
        <v>67.385366947975783</v>
      </c>
      <c r="M1739" s="35">
        <f t="shared" si="772"/>
        <v>97.630419887331072</v>
      </c>
    </row>
    <row r="1740" spans="1:13" ht="38.25">
      <c r="A1740" s="59" t="s">
        <v>715</v>
      </c>
      <c r="B1740" s="28" t="s">
        <v>712</v>
      </c>
      <c r="C1740" s="28" t="s">
        <v>17</v>
      </c>
      <c r="D1740" s="28" t="s">
        <v>387</v>
      </c>
      <c r="E1740" s="28" t="s">
        <v>716</v>
      </c>
      <c r="F1740" s="58" t="s">
        <v>0</v>
      </c>
      <c r="G1740" s="35">
        <f>G1741+G1748</f>
        <v>45547.5</v>
      </c>
      <c r="H1740" s="35">
        <f t="shared" ref="H1740:K1740" si="789">H1741+H1748</f>
        <v>49065.006999999998</v>
      </c>
      <c r="I1740" s="35">
        <f t="shared" si="789"/>
        <v>33865.095580000001</v>
      </c>
      <c r="J1740" s="35">
        <f t="shared" si="789"/>
        <v>33865.095549999998</v>
      </c>
      <c r="K1740" s="35">
        <f t="shared" si="789"/>
        <v>33062.635009999998</v>
      </c>
      <c r="L1740" s="35">
        <f t="shared" si="771"/>
        <v>67.385366947975783</v>
      </c>
      <c r="M1740" s="35">
        <f t="shared" si="772"/>
        <v>97.630419887331072</v>
      </c>
    </row>
    <row r="1741" spans="1:13" ht="25.5">
      <c r="A1741" s="59" t="s">
        <v>58</v>
      </c>
      <c r="B1741" s="28" t="s">
        <v>712</v>
      </c>
      <c r="C1741" s="28" t="s">
        <v>17</v>
      </c>
      <c r="D1741" s="28" t="s">
        <v>387</v>
      </c>
      <c r="E1741" s="28" t="s">
        <v>717</v>
      </c>
      <c r="F1741" s="58" t="s">
        <v>0</v>
      </c>
      <c r="G1741" s="35">
        <f>G1742+G1744+G1746</f>
        <v>39241</v>
      </c>
      <c r="H1741" s="35">
        <f t="shared" ref="H1741:K1741" si="790">H1742+H1744+H1746</f>
        <v>42758.506999999998</v>
      </c>
      <c r="I1741" s="35">
        <f t="shared" si="790"/>
        <v>32010.055550000001</v>
      </c>
      <c r="J1741" s="35">
        <f t="shared" si="790"/>
        <v>32010.055520000002</v>
      </c>
      <c r="K1741" s="35">
        <f t="shared" si="790"/>
        <v>31207.594979999998</v>
      </c>
      <c r="L1741" s="35">
        <f t="shared" si="771"/>
        <v>72.98569844826433</v>
      </c>
      <c r="M1741" s="35">
        <f t="shared" si="772"/>
        <v>97.493098477300194</v>
      </c>
    </row>
    <row r="1742" spans="1:13" ht="63.75">
      <c r="A1742" s="59" t="s">
        <v>60</v>
      </c>
      <c r="B1742" s="28" t="s">
        <v>712</v>
      </c>
      <c r="C1742" s="28" t="s">
        <v>17</v>
      </c>
      <c r="D1742" s="28" t="s">
        <v>387</v>
      </c>
      <c r="E1742" s="28" t="s">
        <v>717</v>
      </c>
      <c r="F1742" s="28" t="s">
        <v>61</v>
      </c>
      <c r="G1742" s="35">
        <f>G1743</f>
        <v>37771</v>
      </c>
      <c r="H1742" s="35">
        <f t="shared" ref="H1742:K1742" si="791">H1743</f>
        <v>41317.557000000001</v>
      </c>
      <c r="I1742" s="35">
        <f t="shared" si="791"/>
        <v>31190</v>
      </c>
      <c r="J1742" s="35">
        <f t="shared" si="791"/>
        <v>31190</v>
      </c>
      <c r="K1742" s="35">
        <f t="shared" si="791"/>
        <v>30425.251319999996</v>
      </c>
      <c r="L1742" s="35">
        <f t="shared" si="771"/>
        <v>73.637585397413488</v>
      </c>
      <c r="M1742" s="35">
        <f t="shared" si="772"/>
        <v>97.548096569413261</v>
      </c>
    </row>
    <row r="1743" spans="1:13" ht="25.5">
      <c r="A1743" s="59" t="s">
        <v>62</v>
      </c>
      <c r="B1743" s="28" t="s">
        <v>712</v>
      </c>
      <c r="C1743" s="28" t="s">
        <v>17</v>
      </c>
      <c r="D1743" s="28" t="s">
        <v>387</v>
      </c>
      <c r="E1743" s="28" t="s">
        <v>717</v>
      </c>
      <c r="F1743" s="28" t="s">
        <v>63</v>
      </c>
      <c r="G1743" s="35">
        <v>37771</v>
      </c>
      <c r="H1743" s="35">
        <f>31009.114+1890+8418.443</f>
        <v>41317.557000000001</v>
      </c>
      <c r="I1743" s="35">
        <f>22500+1890+6800</f>
        <v>31190</v>
      </c>
      <c r="J1743" s="35">
        <f>22500+1890+6800</f>
        <v>31190</v>
      </c>
      <c r="K1743" s="35">
        <f>22067.89624+1860.6135+6496.74158</f>
        <v>30425.251319999996</v>
      </c>
      <c r="L1743" s="35">
        <f t="shared" si="771"/>
        <v>73.637585397413488</v>
      </c>
      <c r="M1743" s="35">
        <f t="shared" si="772"/>
        <v>97.548096569413261</v>
      </c>
    </row>
    <row r="1744" spans="1:13" ht="25.5">
      <c r="A1744" s="59" t="s">
        <v>64</v>
      </c>
      <c r="B1744" s="28" t="s">
        <v>712</v>
      </c>
      <c r="C1744" s="28" t="s">
        <v>17</v>
      </c>
      <c r="D1744" s="28" t="s">
        <v>387</v>
      </c>
      <c r="E1744" s="28" t="s">
        <v>717</v>
      </c>
      <c r="F1744" s="28" t="s">
        <v>65</v>
      </c>
      <c r="G1744" s="35">
        <f>G1745</f>
        <v>1450</v>
      </c>
      <c r="H1744" s="35">
        <f t="shared" ref="H1744:K1744" si="792">H1745</f>
        <v>1420.95</v>
      </c>
      <c r="I1744" s="35">
        <f t="shared" si="792"/>
        <v>803</v>
      </c>
      <c r="J1744" s="35">
        <f t="shared" si="792"/>
        <v>803</v>
      </c>
      <c r="K1744" s="35">
        <f t="shared" si="792"/>
        <v>765.28814</v>
      </c>
      <c r="L1744" s="35">
        <f t="shared" si="771"/>
        <v>53.857499560153421</v>
      </c>
      <c r="M1744" s="35">
        <f t="shared" si="772"/>
        <v>95.303628891656288</v>
      </c>
    </row>
    <row r="1745" spans="1:13" ht="25.5">
      <c r="A1745" s="59" t="s">
        <v>66</v>
      </c>
      <c r="B1745" s="28" t="s">
        <v>712</v>
      </c>
      <c r="C1745" s="28" t="s">
        <v>17</v>
      </c>
      <c r="D1745" s="28" t="s">
        <v>387</v>
      </c>
      <c r="E1745" s="28" t="s">
        <v>717</v>
      </c>
      <c r="F1745" s="28" t="s">
        <v>67</v>
      </c>
      <c r="G1745" s="35">
        <v>1450</v>
      </c>
      <c r="H1745" s="35">
        <v>1420.95</v>
      </c>
      <c r="I1745" s="35">
        <v>803</v>
      </c>
      <c r="J1745" s="35">
        <v>803</v>
      </c>
      <c r="K1745" s="35">
        <v>765.28814</v>
      </c>
      <c r="L1745" s="35">
        <f t="shared" si="771"/>
        <v>53.857499560153421</v>
      </c>
      <c r="M1745" s="35">
        <f t="shared" si="772"/>
        <v>95.303628891656288</v>
      </c>
    </row>
    <row r="1746" spans="1:13">
      <c r="A1746" s="59" t="s">
        <v>72</v>
      </c>
      <c r="B1746" s="28" t="s">
        <v>712</v>
      </c>
      <c r="C1746" s="28" t="s">
        <v>17</v>
      </c>
      <c r="D1746" s="28" t="s">
        <v>387</v>
      </c>
      <c r="E1746" s="28" t="s">
        <v>717</v>
      </c>
      <c r="F1746" s="28" t="s">
        <v>73</v>
      </c>
      <c r="G1746" s="35">
        <f>G1747</f>
        <v>20</v>
      </c>
      <c r="H1746" s="35">
        <f t="shared" ref="H1746:K1746" si="793">H1747</f>
        <v>20</v>
      </c>
      <c r="I1746" s="35">
        <f t="shared" si="793"/>
        <v>17.05555</v>
      </c>
      <c r="J1746" s="35">
        <f t="shared" si="793"/>
        <v>17.055520000000001</v>
      </c>
      <c r="K1746" s="35">
        <f t="shared" si="793"/>
        <v>17.055520000000001</v>
      </c>
      <c r="L1746" s="35">
        <f t="shared" si="771"/>
        <v>85.277600000000007</v>
      </c>
      <c r="M1746" s="35">
        <f t="shared" si="772"/>
        <v>99.999824104177236</v>
      </c>
    </row>
    <row r="1747" spans="1:13">
      <c r="A1747" s="59" t="s">
        <v>74</v>
      </c>
      <c r="B1747" s="28" t="s">
        <v>712</v>
      </c>
      <c r="C1747" s="28" t="s">
        <v>17</v>
      </c>
      <c r="D1747" s="28" t="s">
        <v>387</v>
      </c>
      <c r="E1747" s="28" t="s">
        <v>717</v>
      </c>
      <c r="F1747" s="28" t="s">
        <v>75</v>
      </c>
      <c r="G1747" s="35">
        <v>20</v>
      </c>
      <c r="H1747" s="35">
        <f>17.94445+2.05555</f>
        <v>20</v>
      </c>
      <c r="I1747" s="35">
        <v>17.05555</v>
      </c>
      <c r="J1747" s="35">
        <f>14.99997+2.05555</f>
        <v>17.055520000000001</v>
      </c>
      <c r="K1747" s="35">
        <f>14.99997+2.05555</f>
        <v>17.055520000000001</v>
      </c>
      <c r="L1747" s="35">
        <f t="shared" si="771"/>
        <v>85.277600000000007</v>
      </c>
      <c r="M1747" s="35">
        <f t="shared" si="772"/>
        <v>99.999824104177236</v>
      </c>
    </row>
    <row r="1748" spans="1:13">
      <c r="A1748" s="59" t="s">
        <v>609</v>
      </c>
      <c r="B1748" s="28" t="s">
        <v>712</v>
      </c>
      <c r="C1748" s="28" t="s">
        <v>17</v>
      </c>
      <c r="D1748" s="28" t="s">
        <v>387</v>
      </c>
      <c r="E1748" s="28" t="s">
        <v>718</v>
      </c>
      <c r="F1748" s="58" t="s">
        <v>0</v>
      </c>
      <c r="G1748" s="35">
        <f>G1749</f>
        <v>6306.5</v>
      </c>
      <c r="H1748" s="35">
        <f t="shared" ref="H1748:K1749" si="794">H1749</f>
        <v>6306.5</v>
      </c>
      <c r="I1748" s="35">
        <f t="shared" si="794"/>
        <v>1855.0400299999999</v>
      </c>
      <c r="J1748" s="35">
        <f t="shared" si="794"/>
        <v>1855.0400299999999</v>
      </c>
      <c r="K1748" s="35">
        <f t="shared" si="794"/>
        <v>1855.0400299999999</v>
      </c>
      <c r="L1748" s="35">
        <f t="shared" si="771"/>
        <v>29.414731308966935</v>
      </c>
      <c r="M1748" s="35">
        <f t="shared" si="772"/>
        <v>100</v>
      </c>
    </row>
    <row r="1749" spans="1:13" ht="25.5">
      <c r="A1749" s="59" t="s">
        <v>64</v>
      </c>
      <c r="B1749" s="28" t="s">
        <v>712</v>
      </c>
      <c r="C1749" s="28" t="s">
        <v>17</v>
      </c>
      <c r="D1749" s="28" t="s">
        <v>387</v>
      </c>
      <c r="E1749" s="28" t="s">
        <v>718</v>
      </c>
      <c r="F1749" s="28" t="s">
        <v>65</v>
      </c>
      <c r="G1749" s="35">
        <f>G1750</f>
        <v>6306.5</v>
      </c>
      <c r="H1749" s="35">
        <f t="shared" si="794"/>
        <v>6306.5</v>
      </c>
      <c r="I1749" s="35">
        <f t="shared" si="794"/>
        <v>1855.0400299999999</v>
      </c>
      <c r="J1749" s="35">
        <f t="shared" si="794"/>
        <v>1855.0400299999999</v>
      </c>
      <c r="K1749" s="35">
        <f t="shared" si="794"/>
        <v>1855.0400299999999</v>
      </c>
      <c r="L1749" s="35">
        <f t="shared" si="771"/>
        <v>29.414731308966935</v>
      </c>
      <c r="M1749" s="35">
        <f t="shared" si="772"/>
        <v>100</v>
      </c>
    </row>
    <row r="1750" spans="1:13" ht="25.5">
      <c r="A1750" s="59" t="s">
        <v>66</v>
      </c>
      <c r="B1750" s="28" t="s">
        <v>712</v>
      </c>
      <c r="C1750" s="28" t="s">
        <v>17</v>
      </c>
      <c r="D1750" s="28" t="s">
        <v>387</v>
      </c>
      <c r="E1750" s="28" t="s">
        <v>718</v>
      </c>
      <c r="F1750" s="28" t="s">
        <v>67</v>
      </c>
      <c r="G1750" s="35">
        <v>6306.5</v>
      </c>
      <c r="H1750" s="35">
        <v>6306.5</v>
      </c>
      <c r="I1750" s="35">
        <v>1855.0400299999999</v>
      </c>
      <c r="J1750" s="35">
        <v>1855.0400299999999</v>
      </c>
      <c r="K1750" s="35">
        <v>1855.0400299999999</v>
      </c>
      <c r="L1750" s="35">
        <f t="shared" si="771"/>
        <v>29.414731308966935</v>
      </c>
      <c r="M1750" s="35">
        <f t="shared" si="772"/>
        <v>100</v>
      </c>
    </row>
    <row r="1751" spans="1:13">
      <c r="A1751" s="60" t="s">
        <v>0</v>
      </c>
      <c r="B1751" s="58" t="s">
        <v>0</v>
      </c>
      <c r="C1751" s="58" t="s">
        <v>0</v>
      </c>
      <c r="D1751" s="58" t="s">
        <v>0</v>
      </c>
      <c r="E1751" s="58" t="s">
        <v>0</v>
      </c>
      <c r="F1751" s="58" t="s">
        <v>0</v>
      </c>
      <c r="G1751" s="61" t="s">
        <v>0</v>
      </c>
      <c r="H1751" s="61" t="s">
        <v>0</v>
      </c>
      <c r="I1751" s="61" t="s">
        <v>0</v>
      </c>
      <c r="J1751" s="61" t="s">
        <v>0</v>
      </c>
      <c r="K1751" s="61" t="s">
        <v>0</v>
      </c>
      <c r="L1751" s="35"/>
      <c r="M1751" s="35"/>
    </row>
    <row r="1752" spans="1:13">
      <c r="A1752" s="59" t="s">
        <v>30</v>
      </c>
      <c r="B1752" s="28" t="s">
        <v>712</v>
      </c>
      <c r="C1752" s="28" t="s">
        <v>19</v>
      </c>
      <c r="D1752" s="58" t="s">
        <v>0</v>
      </c>
      <c r="E1752" s="58" t="s">
        <v>0</v>
      </c>
      <c r="F1752" s="58" t="s">
        <v>0</v>
      </c>
      <c r="G1752" s="35">
        <f>G1753</f>
        <v>57000.7</v>
      </c>
      <c r="H1752" s="35">
        <f t="shared" ref="H1752:K1753" si="795">H1753</f>
        <v>131754.11599999998</v>
      </c>
      <c r="I1752" s="35">
        <f t="shared" si="795"/>
        <v>42438.932999999997</v>
      </c>
      <c r="J1752" s="35">
        <f t="shared" si="795"/>
        <v>42438.932999999997</v>
      </c>
      <c r="K1752" s="35">
        <f t="shared" si="795"/>
        <v>42389.373</v>
      </c>
      <c r="L1752" s="35">
        <f t="shared" si="771"/>
        <v>32.173092034559289</v>
      </c>
      <c r="M1752" s="35">
        <f t="shared" si="772"/>
        <v>99.883220438176437</v>
      </c>
    </row>
    <row r="1753" spans="1:13">
      <c r="A1753" s="59" t="s">
        <v>50</v>
      </c>
      <c r="B1753" s="28" t="s">
        <v>712</v>
      </c>
      <c r="C1753" s="28" t="s">
        <v>19</v>
      </c>
      <c r="D1753" s="28" t="s">
        <v>51</v>
      </c>
      <c r="E1753" s="58" t="s">
        <v>0</v>
      </c>
      <c r="F1753" s="58" t="s">
        <v>0</v>
      </c>
      <c r="G1753" s="35">
        <f>G1754</f>
        <v>57000.7</v>
      </c>
      <c r="H1753" s="35">
        <f t="shared" si="795"/>
        <v>131754.11599999998</v>
      </c>
      <c r="I1753" s="35">
        <f t="shared" si="795"/>
        <v>42438.932999999997</v>
      </c>
      <c r="J1753" s="35">
        <f t="shared" si="795"/>
        <v>42438.932999999997</v>
      </c>
      <c r="K1753" s="35">
        <f t="shared" si="795"/>
        <v>42389.373</v>
      </c>
      <c r="L1753" s="35">
        <f t="shared" si="771"/>
        <v>32.173092034559289</v>
      </c>
      <c r="M1753" s="35">
        <f t="shared" si="772"/>
        <v>99.883220438176437</v>
      </c>
    </row>
    <row r="1754" spans="1:13" ht="51">
      <c r="A1754" s="59" t="s">
        <v>713</v>
      </c>
      <c r="B1754" s="28" t="s">
        <v>712</v>
      </c>
      <c r="C1754" s="28" t="s">
        <v>19</v>
      </c>
      <c r="D1754" s="28" t="s">
        <v>51</v>
      </c>
      <c r="E1754" s="28" t="s">
        <v>714</v>
      </c>
      <c r="F1754" s="58" t="s">
        <v>0</v>
      </c>
      <c r="G1754" s="35">
        <f>G1755+G1764</f>
        <v>57000.7</v>
      </c>
      <c r="H1754" s="35">
        <f>H1755+H1764</f>
        <v>131754.11599999998</v>
      </c>
      <c r="I1754" s="35">
        <f>I1755+I1764</f>
        <v>42438.932999999997</v>
      </c>
      <c r="J1754" s="35">
        <f t="shared" ref="J1754:K1754" si="796">J1755+J1764</f>
        <v>42438.932999999997</v>
      </c>
      <c r="K1754" s="35">
        <f t="shared" si="796"/>
        <v>42389.373</v>
      </c>
      <c r="L1754" s="35">
        <f t="shared" si="771"/>
        <v>32.173092034559289</v>
      </c>
      <c r="M1754" s="35">
        <f t="shared" si="772"/>
        <v>99.883220438176437</v>
      </c>
    </row>
    <row r="1755" spans="1:13" ht="25.5">
      <c r="A1755" s="59" t="s">
        <v>719</v>
      </c>
      <c r="B1755" s="28" t="s">
        <v>712</v>
      </c>
      <c r="C1755" s="28" t="s">
        <v>19</v>
      </c>
      <c r="D1755" s="28" t="s">
        <v>51</v>
      </c>
      <c r="E1755" s="28" t="s">
        <v>720</v>
      </c>
      <c r="F1755" s="58" t="s">
        <v>0</v>
      </c>
      <c r="G1755" s="35">
        <f>G1756++++G1761</f>
        <v>9407.5</v>
      </c>
      <c r="H1755" s="35">
        <f>H1756+H1761</f>
        <v>9407.5</v>
      </c>
      <c r="I1755" s="35">
        <f t="shared" ref="I1755:K1755" si="797">I1756+I1761</f>
        <v>49.56</v>
      </c>
      <c r="J1755" s="35">
        <f t="shared" si="797"/>
        <v>49.56</v>
      </c>
      <c r="K1755" s="35">
        <f t="shared" si="797"/>
        <v>0</v>
      </c>
      <c r="L1755" s="35">
        <f t="shared" si="771"/>
        <v>0</v>
      </c>
      <c r="M1755" s="35">
        <f t="shared" si="772"/>
        <v>0</v>
      </c>
    </row>
    <row r="1756" spans="1:13" ht="25.5">
      <c r="A1756" s="59" t="s">
        <v>721</v>
      </c>
      <c r="B1756" s="28" t="s">
        <v>712</v>
      </c>
      <c r="C1756" s="28" t="s">
        <v>19</v>
      </c>
      <c r="D1756" s="28" t="s">
        <v>51</v>
      </c>
      <c r="E1756" s="28" t="s">
        <v>722</v>
      </c>
      <c r="F1756" s="58" t="s">
        <v>0</v>
      </c>
      <c r="G1756" s="35">
        <f>G1757+G1759</f>
        <v>2500</v>
      </c>
      <c r="H1756" s="35">
        <f>H1757+H1759</f>
        <v>2500</v>
      </c>
      <c r="I1756" s="35">
        <f t="shared" ref="I1756:K1756" si="798">I1757+I1759</f>
        <v>49.56</v>
      </c>
      <c r="J1756" s="35">
        <f t="shared" si="798"/>
        <v>49.56</v>
      </c>
      <c r="K1756" s="35">
        <f t="shared" si="798"/>
        <v>0</v>
      </c>
      <c r="L1756" s="35">
        <f t="shared" si="771"/>
        <v>0</v>
      </c>
      <c r="M1756" s="35">
        <f t="shared" si="772"/>
        <v>0</v>
      </c>
    </row>
    <row r="1757" spans="1:13" ht="25.5">
      <c r="A1757" s="59" t="s">
        <v>64</v>
      </c>
      <c r="B1757" s="28" t="s">
        <v>712</v>
      </c>
      <c r="C1757" s="28" t="s">
        <v>19</v>
      </c>
      <c r="D1757" s="28" t="s">
        <v>51</v>
      </c>
      <c r="E1757" s="28" t="s">
        <v>722</v>
      </c>
      <c r="F1757" s="28" t="s">
        <v>65</v>
      </c>
      <c r="G1757" s="35">
        <f>G1758</f>
        <v>500</v>
      </c>
      <c r="H1757" s="35">
        <f t="shared" ref="H1757:K1757" si="799">H1758</f>
        <v>500</v>
      </c>
      <c r="I1757" s="35">
        <f t="shared" si="799"/>
        <v>49.56</v>
      </c>
      <c r="J1757" s="35">
        <f t="shared" si="799"/>
        <v>49.56</v>
      </c>
      <c r="K1757" s="35">
        <f t="shared" si="799"/>
        <v>0</v>
      </c>
      <c r="L1757" s="35">
        <f t="shared" si="771"/>
        <v>0</v>
      </c>
      <c r="M1757" s="35">
        <f t="shared" si="772"/>
        <v>0</v>
      </c>
    </row>
    <row r="1758" spans="1:13" ht="25.5">
      <c r="A1758" s="59" t="s">
        <v>66</v>
      </c>
      <c r="B1758" s="28" t="s">
        <v>712</v>
      </c>
      <c r="C1758" s="28" t="s">
        <v>19</v>
      </c>
      <c r="D1758" s="28" t="s">
        <v>51</v>
      </c>
      <c r="E1758" s="28" t="s">
        <v>722</v>
      </c>
      <c r="F1758" s="28" t="s">
        <v>67</v>
      </c>
      <c r="G1758" s="35">
        <v>500</v>
      </c>
      <c r="H1758" s="35">
        <v>500</v>
      </c>
      <c r="I1758" s="35">
        <v>49.56</v>
      </c>
      <c r="J1758" s="35">
        <v>49.56</v>
      </c>
      <c r="K1758" s="35">
        <v>0</v>
      </c>
      <c r="L1758" s="35">
        <f t="shared" si="771"/>
        <v>0</v>
      </c>
      <c r="M1758" s="35">
        <f t="shared" si="772"/>
        <v>0</v>
      </c>
    </row>
    <row r="1759" spans="1:13">
      <c r="A1759" s="59" t="s">
        <v>72</v>
      </c>
      <c r="B1759" s="28" t="s">
        <v>712</v>
      </c>
      <c r="C1759" s="28" t="s">
        <v>19</v>
      </c>
      <c r="D1759" s="28" t="s">
        <v>51</v>
      </c>
      <c r="E1759" s="28" t="s">
        <v>722</v>
      </c>
      <c r="F1759" s="28" t="s">
        <v>73</v>
      </c>
      <c r="G1759" s="35">
        <f>G1760</f>
        <v>2000</v>
      </c>
      <c r="H1759" s="35">
        <f t="shared" ref="H1759:K1759" si="800">H1760</f>
        <v>2000</v>
      </c>
      <c r="I1759" s="35">
        <f t="shared" si="800"/>
        <v>0</v>
      </c>
      <c r="J1759" s="35">
        <f t="shared" si="800"/>
        <v>0</v>
      </c>
      <c r="K1759" s="35">
        <f t="shared" si="800"/>
        <v>0</v>
      </c>
      <c r="L1759" s="35">
        <f t="shared" si="771"/>
        <v>0</v>
      </c>
      <c r="M1759" s="35">
        <v>0</v>
      </c>
    </row>
    <row r="1760" spans="1:13" ht="51">
      <c r="A1760" s="59" t="s">
        <v>218</v>
      </c>
      <c r="B1760" s="28" t="s">
        <v>712</v>
      </c>
      <c r="C1760" s="28" t="s">
        <v>19</v>
      </c>
      <c r="D1760" s="28" t="s">
        <v>51</v>
      </c>
      <c r="E1760" s="28" t="s">
        <v>722</v>
      </c>
      <c r="F1760" s="28" t="s">
        <v>219</v>
      </c>
      <c r="G1760" s="35">
        <v>2000</v>
      </c>
      <c r="H1760" s="35">
        <v>2000</v>
      </c>
      <c r="I1760" s="35">
        <v>0</v>
      </c>
      <c r="J1760" s="35">
        <v>0</v>
      </c>
      <c r="K1760" s="35">
        <v>0</v>
      </c>
      <c r="L1760" s="35">
        <f t="shared" si="771"/>
        <v>0</v>
      </c>
      <c r="M1760" s="35">
        <v>0</v>
      </c>
    </row>
    <row r="1761" spans="1:13" ht="38.25">
      <c r="A1761" s="59" t="s">
        <v>723</v>
      </c>
      <c r="B1761" s="28" t="s">
        <v>712</v>
      </c>
      <c r="C1761" s="28" t="s">
        <v>19</v>
      </c>
      <c r="D1761" s="28" t="s">
        <v>51</v>
      </c>
      <c r="E1761" s="28" t="s">
        <v>724</v>
      </c>
      <c r="F1761" s="58" t="s">
        <v>0</v>
      </c>
      <c r="G1761" s="35">
        <f>G1762</f>
        <v>6907.5</v>
      </c>
      <c r="H1761" s="35">
        <f t="shared" ref="H1761:K1762" si="801">H1762</f>
        <v>6907.5</v>
      </c>
      <c r="I1761" s="35">
        <f t="shared" si="801"/>
        <v>0</v>
      </c>
      <c r="J1761" s="35">
        <f t="shared" si="801"/>
        <v>0</v>
      </c>
      <c r="K1761" s="35">
        <f t="shared" si="801"/>
        <v>0</v>
      </c>
      <c r="L1761" s="35">
        <f t="shared" si="771"/>
        <v>0</v>
      </c>
      <c r="M1761" s="35">
        <v>0</v>
      </c>
    </row>
    <row r="1762" spans="1:13" ht="25.5">
      <c r="A1762" s="59" t="s">
        <v>64</v>
      </c>
      <c r="B1762" s="28" t="s">
        <v>712</v>
      </c>
      <c r="C1762" s="28" t="s">
        <v>19</v>
      </c>
      <c r="D1762" s="28" t="s">
        <v>51</v>
      </c>
      <c r="E1762" s="28" t="s">
        <v>724</v>
      </c>
      <c r="F1762" s="28" t="s">
        <v>65</v>
      </c>
      <c r="G1762" s="35">
        <f>G1763</f>
        <v>6907.5</v>
      </c>
      <c r="H1762" s="35">
        <f t="shared" si="801"/>
        <v>6907.5</v>
      </c>
      <c r="I1762" s="35">
        <f t="shared" si="801"/>
        <v>0</v>
      </c>
      <c r="J1762" s="35">
        <f t="shared" si="801"/>
        <v>0</v>
      </c>
      <c r="K1762" s="35">
        <f t="shared" si="801"/>
        <v>0</v>
      </c>
      <c r="L1762" s="35">
        <f t="shared" si="771"/>
        <v>0</v>
      </c>
      <c r="M1762" s="35">
        <v>0</v>
      </c>
    </row>
    <row r="1763" spans="1:13" ht="25.5">
      <c r="A1763" s="59" t="s">
        <v>66</v>
      </c>
      <c r="B1763" s="28" t="s">
        <v>712</v>
      </c>
      <c r="C1763" s="28" t="s">
        <v>19</v>
      </c>
      <c r="D1763" s="28" t="s">
        <v>51</v>
      </c>
      <c r="E1763" s="28" t="s">
        <v>724</v>
      </c>
      <c r="F1763" s="28" t="s">
        <v>67</v>
      </c>
      <c r="G1763" s="35">
        <v>6907.5</v>
      </c>
      <c r="H1763" s="35">
        <v>6907.5</v>
      </c>
      <c r="I1763" s="35">
        <v>0</v>
      </c>
      <c r="J1763" s="35">
        <v>0</v>
      </c>
      <c r="K1763" s="35">
        <v>0</v>
      </c>
      <c r="L1763" s="35">
        <f t="shared" ref="L1763:L1825" si="802">K1763/H1763*100</f>
        <v>0</v>
      </c>
      <c r="M1763" s="35">
        <v>0</v>
      </c>
    </row>
    <row r="1764" spans="1:13" ht="25.5">
      <c r="A1764" s="59" t="s">
        <v>725</v>
      </c>
      <c r="B1764" s="28" t="s">
        <v>712</v>
      </c>
      <c r="C1764" s="28" t="s">
        <v>19</v>
      </c>
      <c r="D1764" s="28" t="s">
        <v>51</v>
      </c>
      <c r="E1764" s="28" t="s">
        <v>726</v>
      </c>
      <c r="F1764" s="58" t="s">
        <v>0</v>
      </c>
      <c r="G1764" s="35">
        <f>G1773+G1776+G1779</f>
        <v>47593.2</v>
      </c>
      <c r="H1764" s="35">
        <f>H1773+H1776+H1779+H1765</f>
        <v>122346.61599999999</v>
      </c>
      <c r="I1764" s="35">
        <f t="shared" ref="I1764:K1764" si="803">I1773+I1776+I1779+I1765</f>
        <v>42389.373</v>
      </c>
      <c r="J1764" s="35">
        <f t="shared" si="803"/>
        <v>42389.373</v>
      </c>
      <c r="K1764" s="35">
        <f t="shared" si="803"/>
        <v>42389.373</v>
      </c>
      <c r="L1764" s="35">
        <f t="shared" si="802"/>
        <v>34.646951739147411</v>
      </c>
      <c r="M1764" s="35">
        <f t="shared" ref="M1764:M1825" si="804">K1764/I1764*100</f>
        <v>100</v>
      </c>
    </row>
    <row r="1765" spans="1:13" s="92" customFormat="1" ht="38.25">
      <c r="A1765" s="62" t="s">
        <v>1270</v>
      </c>
      <c r="B1765" s="28" t="s">
        <v>712</v>
      </c>
      <c r="C1765" s="28" t="s">
        <v>19</v>
      </c>
      <c r="D1765" s="28" t="s">
        <v>51</v>
      </c>
      <c r="E1765" s="29" t="s">
        <v>1269</v>
      </c>
      <c r="F1765" s="58"/>
      <c r="G1765" s="35"/>
      <c r="H1765" s="35">
        <f>H1766+H1768+H1771</f>
        <v>74753.415999999997</v>
      </c>
      <c r="I1765" s="35">
        <f t="shared" ref="I1765:K1765" si="805">I1766+I1768+I1771</f>
        <v>29499.359</v>
      </c>
      <c r="J1765" s="35">
        <f t="shared" si="805"/>
        <v>29499.359</v>
      </c>
      <c r="K1765" s="35">
        <f t="shared" si="805"/>
        <v>29499.359</v>
      </c>
      <c r="L1765" s="35">
        <f t="shared" si="802"/>
        <v>39.462222034107448</v>
      </c>
      <c r="M1765" s="35">
        <f t="shared" si="804"/>
        <v>100</v>
      </c>
    </row>
    <row r="1766" spans="1:13" s="92" customFormat="1">
      <c r="A1766" s="59" t="s">
        <v>26</v>
      </c>
      <c r="B1766" s="28" t="s">
        <v>712</v>
      </c>
      <c r="C1766" s="28" t="s">
        <v>19</v>
      </c>
      <c r="D1766" s="28" t="s">
        <v>51</v>
      </c>
      <c r="E1766" s="29" t="s">
        <v>1269</v>
      </c>
      <c r="F1766" s="28">
        <v>500</v>
      </c>
      <c r="G1766" s="35"/>
      <c r="H1766" s="35">
        <f>H1767</f>
        <v>16254.116</v>
      </c>
      <c r="I1766" s="35">
        <f t="shared" ref="I1766:K1766" si="806">I1767</f>
        <v>0</v>
      </c>
      <c r="J1766" s="35">
        <f t="shared" si="806"/>
        <v>0</v>
      </c>
      <c r="K1766" s="35">
        <f t="shared" si="806"/>
        <v>0</v>
      </c>
      <c r="L1766" s="35">
        <f t="shared" si="802"/>
        <v>0</v>
      </c>
      <c r="M1766" s="35">
        <v>0</v>
      </c>
    </row>
    <row r="1767" spans="1:13" s="92" customFormat="1">
      <c r="A1767" s="59" t="s">
        <v>56</v>
      </c>
      <c r="B1767" s="28" t="s">
        <v>712</v>
      </c>
      <c r="C1767" s="28" t="s">
        <v>19</v>
      </c>
      <c r="D1767" s="28" t="s">
        <v>51</v>
      </c>
      <c r="E1767" s="29" t="s">
        <v>1269</v>
      </c>
      <c r="F1767" s="28">
        <v>520</v>
      </c>
      <c r="G1767" s="35"/>
      <c r="H1767" s="35">
        <v>16254.116</v>
      </c>
      <c r="I1767" s="35">
        <v>0</v>
      </c>
      <c r="J1767" s="35">
        <v>0</v>
      </c>
      <c r="K1767" s="35">
        <v>0</v>
      </c>
      <c r="L1767" s="35">
        <f t="shared" si="802"/>
        <v>0</v>
      </c>
      <c r="M1767" s="35">
        <v>0</v>
      </c>
    </row>
    <row r="1768" spans="1:13" s="92" customFormat="1" ht="25.5">
      <c r="A1768" s="59" t="s">
        <v>80</v>
      </c>
      <c r="B1768" s="28" t="s">
        <v>712</v>
      </c>
      <c r="C1768" s="28" t="s">
        <v>19</v>
      </c>
      <c r="D1768" s="28" t="s">
        <v>51</v>
      </c>
      <c r="E1768" s="29" t="s">
        <v>1269</v>
      </c>
      <c r="F1768" s="28">
        <v>600</v>
      </c>
      <c r="G1768" s="35"/>
      <c r="H1768" s="35">
        <f>H1769+H1770</f>
        <v>32000</v>
      </c>
      <c r="I1768" s="35">
        <f t="shared" ref="I1768:K1768" si="807">I1769+I1770</f>
        <v>27000</v>
      </c>
      <c r="J1768" s="35">
        <f t="shared" si="807"/>
        <v>27000</v>
      </c>
      <c r="K1768" s="35">
        <f t="shared" si="807"/>
        <v>27000</v>
      </c>
      <c r="L1768" s="35">
        <f t="shared" si="802"/>
        <v>84.375</v>
      </c>
      <c r="M1768" s="35">
        <f t="shared" si="804"/>
        <v>100</v>
      </c>
    </row>
    <row r="1769" spans="1:13" s="92" customFormat="1">
      <c r="A1769" s="59" t="s">
        <v>82</v>
      </c>
      <c r="B1769" s="28" t="s">
        <v>712</v>
      </c>
      <c r="C1769" s="28" t="s">
        <v>19</v>
      </c>
      <c r="D1769" s="28" t="s">
        <v>51</v>
      </c>
      <c r="E1769" s="29" t="s">
        <v>1269</v>
      </c>
      <c r="F1769" s="28">
        <v>620</v>
      </c>
      <c r="G1769" s="35"/>
      <c r="H1769" s="35">
        <v>5000</v>
      </c>
      <c r="I1769" s="35">
        <v>0</v>
      </c>
      <c r="J1769" s="35">
        <v>0</v>
      </c>
      <c r="K1769" s="35">
        <v>0</v>
      </c>
      <c r="L1769" s="35">
        <f t="shared" si="802"/>
        <v>0</v>
      </c>
      <c r="M1769" s="35">
        <v>0</v>
      </c>
    </row>
    <row r="1770" spans="1:13" s="92" customFormat="1" ht="38.25">
      <c r="A1770" s="59" t="s">
        <v>195</v>
      </c>
      <c r="B1770" s="28" t="s">
        <v>712</v>
      </c>
      <c r="C1770" s="28" t="s">
        <v>19</v>
      </c>
      <c r="D1770" s="28" t="s">
        <v>51</v>
      </c>
      <c r="E1770" s="29" t="s">
        <v>1269</v>
      </c>
      <c r="F1770" s="28">
        <v>630</v>
      </c>
      <c r="G1770" s="35"/>
      <c r="H1770" s="35">
        <v>27000</v>
      </c>
      <c r="I1770" s="35">
        <v>27000</v>
      </c>
      <c r="J1770" s="35">
        <v>27000</v>
      </c>
      <c r="K1770" s="35">
        <v>27000</v>
      </c>
      <c r="L1770" s="35">
        <f t="shared" si="802"/>
        <v>100</v>
      </c>
      <c r="M1770" s="35">
        <f t="shared" si="804"/>
        <v>100</v>
      </c>
    </row>
    <row r="1771" spans="1:13" s="92" customFormat="1">
      <c r="A1771" s="59" t="s">
        <v>72</v>
      </c>
      <c r="B1771" s="28" t="s">
        <v>712</v>
      </c>
      <c r="C1771" s="28" t="s">
        <v>19</v>
      </c>
      <c r="D1771" s="28" t="s">
        <v>51</v>
      </c>
      <c r="E1771" s="29" t="s">
        <v>1269</v>
      </c>
      <c r="F1771" s="28">
        <v>800</v>
      </c>
      <c r="G1771" s="35"/>
      <c r="H1771" s="35">
        <f>H1772</f>
        <v>26499.3</v>
      </c>
      <c r="I1771" s="35">
        <f t="shared" ref="I1771:K1771" si="808">I1772</f>
        <v>2499.3589999999999</v>
      </c>
      <c r="J1771" s="35">
        <f t="shared" si="808"/>
        <v>2499.3589999999999</v>
      </c>
      <c r="K1771" s="35">
        <f t="shared" si="808"/>
        <v>2499.3589999999999</v>
      </c>
      <c r="L1771" s="35">
        <f t="shared" si="802"/>
        <v>9.4317925379160972</v>
      </c>
      <c r="M1771" s="35">
        <f t="shared" si="804"/>
        <v>100</v>
      </c>
    </row>
    <row r="1772" spans="1:13" s="92" customFormat="1" ht="51">
      <c r="A1772" s="59" t="s">
        <v>218</v>
      </c>
      <c r="B1772" s="28" t="s">
        <v>712</v>
      </c>
      <c r="C1772" s="28" t="s">
        <v>19</v>
      </c>
      <c r="D1772" s="28" t="s">
        <v>51</v>
      </c>
      <c r="E1772" s="29" t="s">
        <v>1269</v>
      </c>
      <c r="F1772" s="28">
        <v>810</v>
      </c>
      <c r="G1772" s="35"/>
      <c r="H1772" s="35">
        <v>26499.3</v>
      </c>
      <c r="I1772" s="35">
        <v>2499.3589999999999</v>
      </c>
      <c r="J1772" s="35">
        <v>2499.3589999999999</v>
      </c>
      <c r="K1772" s="35">
        <v>2499.3589999999999</v>
      </c>
      <c r="L1772" s="35">
        <f t="shared" si="802"/>
        <v>9.4317925379160972</v>
      </c>
      <c r="M1772" s="35">
        <f t="shared" si="804"/>
        <v>100</v>
      </c>
    </row>
    <row r="1773" spans="1:13" ht="25.5">
      <c r="A1773" s="59" t="s">
        <v>76</v>
      </c>
      <c r="B1773" s="28" t="s">
        <v>712</v>
      </c>
      <c r="C1773" s="28" t="s">
        <v>19</v>
      </c>
      <c r="D1773" s="28" t="s">
        <v>51</v>
      </c>
      <c r="E1773" s="28" t="s">
        <v>727</v>
      </c>
      <c r="F1773" s="58" t="s">
        <v>0</v>
      </c>
      <c r="G1773" s="35">
        <f>G1774</f>
        <v>5627</v>
      </c>
      <c r="H1773" s="35">
        <f>H1774</f>
        <v>5627</v>
      </c>
      <c r="I1773" s="35">
        <f t="shared" ref="H1773:K1774" si="809">I1774</f>
        <v>4216.9440000000004</v>
      </c>
      <c r="J1773" s="35">
        <f t="shared" si="809"/>
        <v>4216.9440000000004</v>
      </c>
      <c r="K1773" s="35">
        <f t="shared" si="809"/>
        <v>4216.9440000000004</v>
      </c>
      <c r="L1773" s="35">
        <f t="shared" si="802"/>
        <v>74.9412475564244</v>
      </c>
      <c r="M1773" s="35">
        <f t="shared" si="804"/>
        <v>100</v>
      </c>
    </row>
    <row r="1774" spans="1:13" ht="25.5">
      <c r="A1774" s="59" t="s">
        <v>80</v>
      </c>
      <c r="B1774" s="28" t="s">
        <v>712</v>
      </c>
      <c r="C1774" s="28" t="s">
        <v>19</v>
      </c>
      <c r="D1774" s="28" t="s">
        <v>51</v>
      </c>
      <c r="E1774" s="28" t="s">
        <v>727</v>
      </c>
      <c r="F1774" s="28" t="s">
        <v>81</v>
      </c>
      <c r="G1774" s="35">
        <f>G1775</f>
        <v>5627</v>
      </c>
      <c r="H1774" s="35">
        <f t="shared" si="809"/>
        <v>5627</v>
      </c>
      <c r="I1774" s="35">
        <f t="shared" si="809"/>
        <v>4216.9440000000004</v>
      </c>
      <c r="J1774" s="35">
        <f t="shared" si="809"/>
        <v>4216.9440000000004</v>
      </c>
      <c r="K1774" s="35">
        <f t="shared" si="809"/>
        <v>4216.9440000000004</v>
      </c>
      <c r="L1774" s="35">
        <f t="shared" si="802"/>
        <v>74.9412475564244</v>
      </c>
      <c r="M1774" s="35">
        <f t="shared" si="804"/>
        <v>100</v>
      </c>
    </row>
    <row r="1775" spans="1:13">
      <c r="A1775" s="59" t="s">
        <v>82</v>
      </c>
      <c r="B1775" s="28" t="s">
        <v>712</v>
      </c>
      <c r="C1775" s="28" t="s">
        <v>19</v>
      </c>
      <c r="D1775" s="28" t="s">
        <v>51</v>
      </c>
      <c r="E1775" s="28" t="s">
        <v>727</v>
      </c>
      <c r="F1775" s="28" t="s">
        <v>83</v>
      </c>
      <c r="G1775" s="35">
        <v>5627</v>
      </c>
      <c r="H1775" s="35">
        <v>5627</v>
      </c>
      <c r="I1775" s="35">
        <v>4216.9440000000004</v>
      </c>
      <c r="J1775" s="35">
        <v>4216.9440000000004</v>
      </c>
      <c r="K1775" s="35">
        <v>4216.9440000000004</v>
      </c>
      <c r="L1775" s="35">
        <f t="shared" si="802"/>
        <v>74.9412475564244</v>
      </c>
      <c r="M1775" s="35">
        <f t="shared" si="804"/>
        <v>100</v>
      </c>
    </row>
    <row r="1776" spans="1:13" ht="25.5">
      <c r="A1776" s="59" t="s">
        <v>728</v>
      </c>
      <c r="B1776" s="28" t="s">
        <v>712</v>
      </c>
      <c r="C1776" s="28" t="s">
        <v>19</v>
      </c>
      <c r="D1776" s="28" t="s">
        <v>51</v>
      </c>
      <c r="E1776" s="28" t="s">
        <v>729</v>
      </c>
      <c r="F1776" s="58" t="s">
        <v>0</v>
      </c>
      <c r="G1776" s="35">
        <f>G1777</f>
        <v>3805</v>
      </c>
      <c r="H1776" s="35">
        <f t="shared" ref="H1776:K1777" si="810">H1777</f>
        <v>3805</v>
      </c>
      <c r="I1776" s="35">
        <f t="shared" si="810"/>
        <v>1544.2</v>
      </c>
      <c r="J1776" s="35">
        <f t="shared" si="810"/>
        <v>1544.2</v>
      </c>
      <c r="K1776" s="35">
        <f t="shared" si="810"/>
        <v>1544.2</v>
      </c>
      <c r="L1776" s="35">
        <f t="shared" si="802"/>
        <v>40.583442838370566</v>
      </c>
      <c r="M1776" s="35">
        <f t="shared" si="804"/>
        <v>100</v>
      </c>
    </row>
    <row r="1777" spans="1:13" ht="25.5">
      <c r="A1777" s="59" t="s">
        <v>64</v>
      </c>
      <c r="B1777" s="28" t="s">
        <v>712</v>
      </c>
      <c r="C1777" s="28" t="s">
        <v>19</v>
      </c>
      <c r="D1777" s="28" t="s">
        <v>51</v>
      </c>
      <c r="E1777" s="28" t="s">
        <v>729</v>
      </c>
      <c r="F1777" s="28" t="s">
        <v>65</v>
      </c>
      <c r="G1777" s="35">
        <f>G1778</f>
        <v>3805</v>
      </c>
      <c r="H1777" s="35">
        <f t="shared" si="810"/>
        <v>3805</v>
      </c>
      <c r="I1777" s="35">
        <f t="shared" si="810"/>
        <v>1544.2</v>
      </c>
      <c r="J1777" s="35">
        <f t="shared" si="810"/>
        <v>1544.2</v>
      </c>
      <c r="K1777" s="35">
        <f t="shared" si="810"/>
        <v>1544.2</v>
      </c>
      <c r="L1777" s="35">
        <f t="shared" si="802"/>
        <v>40.583442838370566</v>
      </c>
      <c r="M1777" s="35">
        <f t="shared" si="804"/>
        <v>100</v>
      </c>
    </row>
    <row r="1778" spans="1:13" ht="25.5">
      <c r="A1778" s="59" t="s">
        <v>66</v>
      </c>
      <c r="B1778" s="28" t="s">
        <v>712</v>
      </c>
      <c r="C1778" s="28" t="s">
        <v>19</v>
      </c>
      <c r="D1778" s="28" t="s">
        <v>51</v>
      </c>
      <c r="E1778" s="28" t="s">
        <v>729</v>
      </c>
      <c r="F1778" s="28" t="s">
        <v>67</v>
      </c>
      <c r="G1778" s="35">
        <v>3805</v>
      </c>
      <c r="H1778" s="35">
        <v>3805</v>
      </c>
      <c r="I1778" s="35">
        <v>1544.2</v>
      </c>
      <c r="J1778" s="35">
        <v>1544.2</v>
      </c>
      <c r="K1778" s="35">
        <v>1544.2</v>
      </c>
      <c r="L1778" s="35">
        <f t="shared" si="802"/>
        <v>40.583442838370566</v>
      </c>
      <c r="M1778" s="35">
        <f t="shared" si="804"/>
        <v>100</v>
      </c>
    </row>
    <row r="1779" spans="1:13" ht="38.25">
      <c r="A1779" s="59" t="s">
        <v>730</v>
      </c>
      <c r="B1779" s="28" t="s">
        <v>712</v>
      </c>
      <c r="C1779" s="28" t="s">
        <v>19</v>
      </c>
      <c r="D1779" s="28" t="s">
        <v>51</v>
      </c>
      <c r="E1779" s="28" t="s">
        <v>731</v>
      </c>
      <c r="F1779" s="58" t="s">
        <v>0</v>
      </c>
      <c r="G1779" s="35">
        <f>G1780+G1782+G1785</f>
        <v>38161.199999999997</v>
      </c>
      <c r="H1779" s="35">
        <f t="shared" ref="H1779:K1779" si="811">H1780+H1782+H1785</f>
        <v>38161.199999999997</v>
      </c>
      <c r="I1779" s="35">
        <f t="shared" si="811"/>
        <v>7128.87</v>
      </c>
      <c r="J1779" s="35">
        <f t="shared" si="811"/>
        <v>7128.87</v>
      </c>
      <c r="K1779" s="35">
        <f t="shared" si="811"/>
        <v>7128.87</v>
      </c>
      <c r="L1779" s="35">
        <f t="shared" si="802"/>
        <v>18.680937706361437</v>
      </c>
      <c r="M1779" s="35">
        <f t="shared" si="804"/>
        <v>100</v>
      </c>
    </row>
    <row r="1780" spans="1:13">
      <c r="A1780" s="59" t="s">
        <v>26</v>
      </c>
      <c r="B1780" s="28" t="s">
        <v>712</v>
      </c>
      <c r="C1780" s="28" t="s">
        <v>19</v>
      </c>
      <c r="D1780" s="28" t="s">
        <v>51</v>
      </c>
      <c r="E1780" s="28" t="s">
        <v>731</v>
      </c>
      <c r="F1780" s="28" t="s">
        <v>27</v>
      </c>
      <c r="G1780" s="35">
        <f>G1781</f>
        <v>14211</v>
      </c>
      <c r="H1780" s="35">
        <f t="shared" ref="H1780:K1780" si="812">H1781</f>
        <v>14211</v>
      </c>
      <c r="I1780" s="35">
        <f t="shared" si="812"/>
        <v>0</v>
      </c>
      <c r="J1780" s="35">
        <f t="shared" si="812"/>
        <v>0</v>
      </c>
      <c r="K1780" s="35">
        <f t="shared" si="812"/>
        <v>0</v>
      </c>
      <c r="L1780" s="35">
        <f t="shared" si="802"/>
        <v>0</v>
      </c>
      <c r="M1780" s="35">
        <v>0</v>
      </c>
    </row>
    <row r="1781" spans="1:13">
      <c r="A1781" s="59" t="s">
        <v>56</v>
      </c>
      <c r="B1781" s="28" t="s">
        <v>712</v>
      </c>
      <c r="C1781" s="28" t="s">
        <v>19</v>
      </c>
      <c r="D1781" s="28" t="s">
        <v>51</v>
      </c>
      <c r="E1781" s="28" t="s">
        <v>731</v>
      </c>
      <c r="F1781" s="28" t="s">
        <v>57</v>
      </c>
      <c r="G1781" s="35">
        <v>14211</v>
      </c>
      <c r="H1781" s="35">
        <v>14211</v>
      </c>
      <c r="I1781" s="35">
        <v>0</v>
      </c>
      <c r="J1781" s="35">
        <v>0</v>
      </c>
      <c r="K1781" s="35">
        <v>0</v>
      </c>
      <c r="L1781" s="35">
        <f t="shared" si="802"/>
        <v>0</v>
      </c>
      <c r="M1781" s="35">
        <v>0</v>
      </c>
    </row>
    <row r="1782" spans="1:13" ht="25.5">
      <c r="A1782" s="59" t="s">
        <v>80</v>
      </c>
      <c r="B1782" s="28" t="s">
        <v>712</v>
      </c>
      <c r="C1782" s="28" t="s">
        <v>19</v>
      </c>
      <c r="D1782" s="28" t="s">
        <v>51</v>
      </c>
      <c r="E1782" s="28" t="s">
        <v>731</v>
      </c>
      <c r="F1782" s="28" t="s">
        <v>81</v>
      </c>
      <c r="G1782" s="35">
        <f>G1783+G1784</f>
        <v>6505.2</v>
      </c>
      <c r="H1782" s="35">
        <f t="shared" ref="H1782:K1782" si="813">H1783+H1784</f>
        <v>6505.2</v>
      </c>
      <c r="I1782" s="35">
        <f t="shared" si="813"/>
        <v>6128.87</v>
      </c>
      <c r="J1782" s="35">
        <f t="shared" si="813"/>
        <v>6128.87</v>
      </c>
      <c r="K1782" s="35">
        <f t="shared" si="813"/>
        <v>6128.87</v>
      </c>
      <c r="L1782" s="35">
        <f t="shared" si="802"/>
        <v>94.214935743712729</v>
      </c>
      <c r="M1782" s="35">
        <f t="shared" si="804"/>
        <v>100</v>
      </c>
    </row>
    <row r="1783" spans="1:13">
      <c r="A1783" s="59" t="s">
        <v>82</v>
      </c>
      <c r="B1783" s="28" t="s">
        <v>712</v>
      </c>
      <c r="C1783" s="28" t="s">
        <v>19</v>
      </c>
      <c r="D1783" s="28" t="s">
        <v>51</v>
      </c>
      <c r="E1783" s="28" t="s">
        <v>731</v>
      </c>
      <c r="F1783" s="28" t="s">
        <v>83</v>
      </c>
      <c r="G1783" s="35">
        <v>1505.2</v>
      </c>
      <c r="H1783" s="35">
        <v>1505.2</v>
      </c>
      <c r="I1783" s="35">
        <v>1128.8699999999999</v>
      </c>
      <c r="J1783" s="35">
        <v>1128.8699999999999</v>
      </c>
      <c r="K1783" s="35">
        <v>1128.8699999999999</v>
      </c>
      <c r="L1783" s="35">
        <f t="shared" si="802"/>
        <v>74.998006909380805</v>
      </c>
      <c r="M1783" s="35">
        <f t="shared" si="804"/>
        <v>100</v>
      </c>
    </row>
    <row r="1784" spans="1:13" ht="38.25">
      <c r="A1784" s="59" t="s">
        <v>195</v>
      </c>
      <c r="B1784" s="28" t="s">
        <v>712</v>
      </c>
      <c r="C1784" s="28" t="s">
        <v>19</v>
      </c>
      <c r="D1784" s="28" t="s">
        <v>51</v>
      </c>
      <c r="E1784" s="28" t="s">
        <v>731</v>
      </c>
      <c r="F1784" s="28" t="s">
        <v>196</v>
      </c>
      <c r="G1784" s="35">
        <v>5000</v>
      </c>
      <c r="H1784" s="35">
        <v>5000</v>
      </c>
      <c r="I1784" s="35">
        <v>5000</v>
      </c>
      <c r="J1784" s="35">
        <v>5000</v>
      </c>
      <c r="K1784" s="35">
        <v>5000</v>
      </c>
      <c r="L1784" s="35">
        <f t="shared" si="802"/>
        <v>100</v>
      </c>
      <c r="M1784" s="35">
        <f t="shared" si="804"/>
        <v>100</v>
      </c>
    </row>
    <row r="1785" spans="1:13">
      <c r="A1785" s="59" t="s">
        <v>72</v>
      </c>
      <c r="B1785" s="28" t="s">
        <v>712</v>
      </c>
      <c r="C1785" s="28" t="s">
        <v>19</v>
      </c>
      <c r="D1785" s="28" t="s">
        <v>51</v>
      </c>
      <c r="E1785" s="28" t="s">
        <v>731</v>
      </c>
      <c r="F1785" s="28" t="s">
        <v>73</v>
      </c>
      <c r="G1785" s="35">
        <f>G1786</f>
        <v>17445</v>
      </c>
      <c r="H1785" s="35">
        <f t="shared" ref="H1785:K1785" si="814">H1786</f>
        <v>17445</v>
      </c>
      <c r="I1785" s="35">
        <f t="shared" si="814"/>
        <v>1000</v>
      </c>
      <c r="J1785" s="35">
        <f t="shared" si="814"/>
        <v>1000</v>
      </c>
      <c r="K1785" s="35">
        <f t="shared" si="814"/>
        <v>1000</v>
      </c>
      <c r="L1785" s="35">
        <f t="shared" si="802"/>
        <v>5.7323015190599031</v>
      </c>
      <c r="M1785" s="35">
        <f t="shared" si="804"/>
        <v>100</v>
      </c>
    </row>
    <row r="1786" spans="1:13" ht="51">
      <c r="A1786" s="59" t="s">
        <v>218</v>
      </c>
      <c r="B1786" s="28" t="s">
        <v>712</v>
      </c>
      <c r="C1786" s="28" t="s">
        <v>19</v>
      </c>
      <c r="D1786" s="28" t="s">
        <v>51</v>
      </c>
      <c r="E1786" s="28" t="s">
        <v>731</v>
      </c>
      <c r="F1786" s="28" t="s">
        <v>219</v>
      </c>
      <c r="G1786" s="35">
        <v>17445</v>
      </c>
      <c r="H1786" s="35">
        <v>17445</v>
      </c>
      <c r="I1786" s="35">
        <v>1000</v>
      </c>
      <c r="J1786" s="35">
        <v>1000</v>
      </c>
      <c r="K1786" s="35">
        <v>1000</v>
      </c>
      <c r="L1786" s="35">
        <f t="shared" si="802"/>
        <v>5.7323015190599031</v>
      </c>
      <c r="M1786" s="35">
        <f t="shared" si="804"/>
        <v>100</v>
      </c>
    </row>
    <row r="1787" spans="1:13">
      <c r="A1787" s="64" t="s">
        <v>0</v>
      </c>
      <c r="B1787" s="65" t="s">
        <v>0</v>
      </c>
      <c r="C1787" s="58" t="s">
        <v>0</v>
      </c>
      <c r="D1787" s="58" t="s">
        <v>0</v>
      </c>
      <c r="E1787" s="58" t="s">
        <v>0</v>
      </c>
      <c r="F1787" s="58" t="s">
        <v>0</v>
      </c>
      <c r="G1787" s="66" t="s">
        <v>0</v>
      </c>
      <c r="H1787" s="66" t="s">
        <v>0</v>
      </c>
      <c r="I1787" s="66" t="s">
        <v>0</v>
      </c>
      <c r="J1787" s="66" t="s">
        <v>0</v>
      </c>
      <c r="K1787" s="66" t="s">
        <v>0</v>
      </c>
      <c r="L1787" s="35"/>
      <c r="M1787" s="35"/>
    </row>
    <row r="1788" spans="1:13" ht="25.5">
      <c r="A1788" s="56" t="s">
        <v>732</v>
      </c>
      <c r="B1788" s="57" t="s">
        <v>733</v>
      </c>
      <c r="C1788" s="58" t="s">
        <v>0</v>
      </c>
      <c r="D1788" s="58" t="s">
        <v>0</v>
      </c>
      <c r="E1788" s="58" t="s">
        <v>0</v>
      </c>
      <c r="F1788" s="58" t="s">
        <v>0</v>
      </c>
      <c r="G1788" s="30">
        <f>G1789</f>
        <v>39369.199999999997</v>
      </c>
      <c r="H1788" s="30">
        <f t="shared" ref="H1788:K1791" si="815">H1789</f>
        <v>0</v>
      </c>
      <c r="I1788" s="30">
        <f t="shared" si="815"/>
        <v>0</v>
      </c>
      <c r="J1788" s="30">
        <f t="shared" si="815"/>
        <v>0</v>
      </c>
      <c r="K1788" s="30">
        <f t="shared" si="815"/>
        <v>0</v>
      </c>
      <c r="L1788" s="30">
        <v>0</v>
      </c>
      <c r="M1788" s="30">
        <v>0</v>
      </c>
    </row>
    <row r="1789" spans="1:13">
      <c r="A1789" s="59" t="s">
        <v>16</v>
      </c>
      <c r="B1789" s="28" t="s">
        <v>733</v>
      </c>
      <c r="C1789" s="28" t="s">
        <v>17</v>
      </c>
      <c r="D1789" s="58" t="s">
        <v>0</v>
      </c>
      <c r="E1789" s="58" t="s">
        <v>0</v>
      </c>
      <c r="F1789" s="58" t="s">
        <v>0</v>
      </c>
      <c r="G1789" s="35">
        <f>G1790</f>
        <v>39369.199999999997</v>
      </c>
      <c r="H1789" s="35">
        <f t="shared" si="815"/>
        <v>0</v>
      </c>
      <c r="I1789" s="35">
        <f t="shared" si="815"/>
        <v>0</v>
      </c>
      <c r="J1789" s="35">
        <f t="shared" si="815"/>
        <v>0</v>
      </c>
      <c r="K1789" s="35">
        <f t="shared" si="815"/>
        <v>0</v>
      </c>
      <c r="L1789" s="35">
        <v>0</v>
      </c>
      <c r="M1789" s="35">
        <v>0</v>
      </c>
    </row>
    <row r="1790" spans="1:13">
      <c r="A1790" s="59" t="s">
        <v>386</v>
      </c>
      <c r="B1790" s="28" t="s">
        <v>733</v>
      </c>
      <c r="C1790" s="28" t="s">
        <v>17</v>
      </c>
      <c r="D1790" s="28" t="s">
        <v>387</v>
      </c>
      <c r="E1790" s="58" t="s">
        <v>0</v>
      </c>
      <c r="F1790" s="58" t="s">
        <v>0</v>
      </c>
      <c r="G1790" s="35">
        <f>G1791</f>
        <v>39369.199999999997</v>
      </c>
      <c r="H1790" s="35">
        <f t="shared" si="815"/>
        <v>0</v>
      </c>
      <c r="I1790" s="35">
        <f t="shared" si="815"/>
        <v>0</v>
      </c>
      <c r="J1790" s="35">
        <f t="shared" si="815"/>
        <v>0</v>
      </c>
      <c r="K1790" s="35">
        <f t="shared" si="815"/>
        <v>0</v>
      </c>
      <c r="L1790" s="35">
        <v>0</v>
      </c>
      <c r="M1790" s="35">
        <v>0</v>
      </c>
    </row>
    <row r="1791" spans="1:13" ht="38.25">
      <c r="A1791" s="59" t="s">
        <v>734</v>
      </c>
      <c r="B1791" s="28" t="s">
        <v>733</v>
      </c>
      <c r="C1791" s="28" t="s">
        <v>17</v>
      </c>
      <c r="D1791" s="28" t="s">
        <v>387</v>
      </c>
      <c r="E1791" s="28" t="s">
        <v>735</v>
      </c>
      <c r="F1791" s="58" t="s">
        <v>0</v>
      </c>
      <c r="G1791" s="35">
        <f>G1792</f>
        <v>39369.199999999997</v>
      </c>
      <c r="H1791" s="35">
        <f t="shared" si="815"/>
        <v>0</v>
      </c>
      <c r="I1791" s="35">
        <f t="shared" si="815"/>
        <v>0</v>
      </c>
      <c r="J1791" s="35">
        <f t="shared" si="815"/>
        <v>0</v>
      </c>
      <c r="K1791" s="35">
        <f t="shared" si="815"/>
        <v>0</v>
      </c>
      <c r="L1791" s="35">
        <v>0</v>
      </c>
      <c r="M1791" s="35">
        <v>0</v>
      </c>
    </row>
    <row r="1792" spans="1:13" ht="38.25">
      <c r="A1792" s="59" t="s">
        <v>736</v>
      </c>
      <c r="B1792" s="28" t="s">
        <v>733</v>
      </c>
      <c r="C1792" s="28" t="s">
        <v>17</v>
      </c>
      <c r="D1792" s="28" t="s">
        <v>387</v>
      </c>
      <c r="E1792" s="28" t="s">
        <v>737</v>
      </c>
      <c r="F1792" s="58" t="s">
        <v>0</v>
      </c>
      <c r="G1792" s="35">
        <f>G1793+G1798</f>
        <v>39369.199999999997</v>
      </c>
      <c r="H1792" s="35">
        <f t="shared" ref="H1792:K1792" si="816">H1793+H1798</f>
        <v>0</v>
      </c>
      <c r="I1792" s="35">
        <f t="shared" si="816"/>
        <v>0</v>
      </c>
      <c r="J1792" s="35">
        <f t="shared" si="816"/>
        <v>0</v>
      </c>
      <c r="K1792" s="35">
        <f t="shared" si="816"/>
        <v>0</v>
      </c>
      <c r="L1792" s="35">
        <v>0</v>
      </c>
      <c r="M1792" s="35">
        <v>0</v>
      </c>
    </row>
    <row r="1793" spans="1:13" ht="25.5">
      <c r="A1793" s="59" t="s">
        <v>58</v>
      </c>
      <c r="B1793" s="28" t="s">
        <v>733</v>
      </c>
      <c r="C1793" s="28" t="s">
        <v>17</v>
      </c>
      <c r="D1793" s="28" t="s">
        <v>387</v>
      </c>
      <c r="E1793" s="28" t="s">
        <v>738</v>
      </c>
      <c r="F1793" s="58" t="s">
        <v>0</v>
      </c>
      <c r="G1793" s="35">
        <f>G1794+G1796</f>
        <v>8246.6</v>
      </c>
      <c r="H1793" s="35">
        <f t="shared" ref="H1793:K1793" si="817">H1794+H1796</f>
        <v>0</v>
      </c>
      <c r="I1793" s="35">
        <f t="shared" si="817"/>
        <v>0</v>
      </c>
      <c r="J1793" s="35">
        <f t="shared" si="817"/>
        <v>0</v>
      </c>
      <c r="K1793" s="35">
        <f t="shared" si="817"/>
        <v>0</v>
      </c>
      <c r="L1793" s="35">
        <v>0</v>
      </c>
      <c r="M1793" s="35">
        <v>0</v>
      </c>
    </row>
    <row r="1794" spans="1:13" ht="63.75">
      <c r="A1794" s="59" t="s">
        <v>60</v>
      </c>
      <c r="B1794" s="28" t="s">
        <v>733</v>
      </c>
      <c r="C1794" s="28" t="s">
        <v>17</v>
      </c>
      <c r="D1794" s="28" t="s">
        <v>387</v>
      </c>
      <c r="E1794" s="28" t="s">
        <v>738</v>
      </c>
      <c r="F1794" s="28" t="s">
        <v>61</v>
      </c>
      <c r="G1794" s="35">
        <f>G1795</f>
        <v>7972.3</v>
      </c>
      <c r="H1794" s="35">
        <f t="shared" ref="H1794:K1794" si="818">H1795</f>
        <v>0</v>
      </c>
      <c r="I1794" s="35">
        <f t="shared" si="818"/>
        <v>0</v>
      </c>
      <c r="J1794" s="35">
        <f t="shared" si="818"/>
        <v>0</v>
      </c>
      <c r="K1794" s="35">
        <f t="shared" si="818"/>
        <v>0</v>
      </c>
      <c r="L1794" s="35">
        <v>0</v>
      </c>
      <c r="M1794" s="35">
        <v>0</v>
      </c>
    </row>
    <row r="1795" spans="1:13" ht="25.5">
      <c r="A1795" s="59" t="s">
        <v>62</v>
      </c>
      <c r="B1795" s="28" t="s">
        <v>733</v>
      </c>
      <c r="C1795" s="28" t="s">
        <v>17</v>
      </c>
      <c r="D1795" s="28" t="s">
        <v>387</v>
      </c>
      <c r="E1795" s="28" t="s">
        <v>738</v>
      </c>
      <c r="F1795" s="28" t="s">
        <v>63</v>
      </c>
      <c r="G1795" s="35">
        <v>7972.3</v>
      </c>
      <c r="H1795" s="35">
        <v>0</v>
      </c>
      <c r="I1795" s="35">
        <v>0</v>
      </c>
      <c r="J1795" s="35">
        <v>0</v>
      </c>
      <c r="K1795" s="35">
        <v>0</v>
      </c>
      <c r="L1795" s="35">
        <v>0</v>
      </c>
      <c r="M1795" s="35">
        <v>0</v>
      </c>
    </row>
    <row r="1796" spans="1:13" ht="25.5">
      <c r="A1796" s="59" t="s">
        <v>64</v>
      </c>
      <c r="B1796" s="28" t="s">
        <v>733</v>
      </c>
      <c r="C1796" s="28" t="s">
        <v>17</v>
      </c>
      <c r="D1796" s="28" t="s">
        <v>387</v>
      </c>
      <c r="E1796" s="28" t="s">
        <v>738</v>
      </c>
      <c r="F1796" s="28" t="s">
        <v>65</v>
      </c>
      <c r="G1796" s="35">
        <f>G1797</f>
        <v>274.3</v>
      </c>
      <c r="H1796" s="35">
        <f t="shared" ref="H1796:K1796" si="819">H1797</f>
        <v>0</v>
      </c>
      <c r="I1796" s="35">
        <f t="shared" si="819"/>
        <v>0</v>
      </c>
      <c r="J1796" s="35">
        <f t="shared" si="819"/>
        <v>0</v>
      </c>
      <c r="K1796" s="35">
        <f t="shared" si="819"/>
        <v>0</v>
      </c>
      <c r="L1796" s="35">
        <v>0</v>
      </c>
      <c r="M1796" s="35">
        <v>0</v>
      </c>
    </row>
    <row r="1797" spans="1:13" ht="25.5">
      <c r="A1797" s="59" t="s">
        <v>66</v>
      </c>
      <c r="B1797" s="28" t="s">
        <v>733</v>
      </c>
      <c r="C1797" s="28" t="s">
        <v>17</v>
      </c>
      <c r="D1797" s="28" t="s">
        <v>387</v>
      </c>
      <c r="E1797" s="28" t="s">
        <v>738</v>
      </c>
      <c r="F1797" s="28" t="s">
        <v>67</v>
      </c>
      <c r="G1797" s="35">
        <v>274.3</v>
      </c>
      <c r="H1797" s="35">
        <v>0</v>
      </c>
      <c r="I1797" s="35">
        <v>0</v>
      </c>
      <c r="J1797" s="35">
        <v>0</v>
      </c>
      <c r="K1797" s="35">
        <v>0</v>
      </c>
      <c r="L1797" s="35">
        <v>0</v>
      </c>
      <c r="M1797" s="35">
        <v>0</v>
      </c>
    </row>
    <row r="1798" spans="1:13" ht="25.5">
      <c r="A1798" s="59" t="s">
        <v>76</v>
      </c>
      <c r="B1798" s="28" t="s">
        <v>733</v>
      </c>
      <c r="C1798" s="28" t="s">
        <v>17</v>
      </c>
      <c r="D1798" s="28" t="s">
        <v>387</v>
      </c>
      <c r="E1798" s="28" t="s">
        <v>739</v>
      </c>
      <c r="F1798" s="58" t="s">
        <v>0</v>
      </c>
      <c r="G1798" s="35">
        <f>G1799</f>
        <v>31122.6</v>
      </c>
      <c r="H1798" s="35">
        <f t="shared" ref="H1798:K1799" si="820">H1799</f>
        <v>0</v>
      </c>
      <c r="I1798" s="35">
        <f t="shared" si="820"/>
        <v>0</v>
      </c>
      <c r="J1798" s="35">
        <f t="shared" si="820"/>
        <v>0</v>
      </c>
      <c r="K1798" s="35">
        <f t="shared" si="820"/>
        <v>0</v>
      </c>
      <c r="L1798" s="35">
        <v>0</v>
      </c>
      <c r="M1798" s="35">
        <v>0</v>
      </c>
    </row>
    <row r="1799" spans="1:13" ht="25.5">
      <c r="A1799" s="59" t="s">
        <v>80</v>
      </c>
      <c r="B1799" s="28" t="s">
        <v>733</v>
      </c>
      <c r="C1799" s="28" t="s">
        <v>17</v>
      </c>
      <c r="D1799" s="28" t="s">
        <v>387</v>
      </c>
      <c r="E1799" s="28" t="s">
        <v>739</v>
      </c>
      <c r="F1799" s="28" t="s">
        <v>81</v>
      </c>
      <c r="G1799" s="35">
        <f>G1800</f>
        <v>31122.6</v>
      </c>
      <c r="H1799" s="35">
        <f t="shared" si="820"/>
        <v>0</v>
      </c>
      <c r="I1799" s="35">
        <f t="shared" si="820"/>
        <v>0</v>
      </c>
      <c r="J1799" s="35">
        <f t="shared" si="820"/>
        <v>0</v>
      </c>
      <c r="K1799" s="35">
        <f t="shared" si="820"/>
        <v>0</v>
      </c>
      <c r="L1799" s="35">
        <v>0</v>
      </c>
      <c r="M1799" s="35">
        <v>0</v>
      </c>
    </row>
    <row r="1800" spans="1:13">
      <c r="A1800" s="59" t="s">
        <v>271</v>
      </c>
      <c r="B1800" s="28" t="s">
        <v>733</v>
      </c>
      <c r="C1800" s="28" t="s">
        <v>17</v>
      </c>
      <c r="D1800" s="28" t="s">
        <v>387</v>
      </c>
      <c r="E1800" s="28" t="s">
        <v>739</v>
      </c>
      <c r="F1800" s="28" t="s">
        <v>272</v>
      </c>
      <c r="G1800" s="35">
        <v>31122.6</v>
      </c>
      <c r="H1800" s="35">
        <v>0</v>
      </c>
      <c r="I1800" s="35">
        <v>0</v>
      </c>
      <c r="J1800" s="35">
        <v>0</v>
      </c>
      <c r="K1800" s="35">
        <v>0</v>
      </c>
      <c r="L1800" s="35">
        <v>0</v>
      </c>
      <c r="M1800" s="35">
        <v>0</v>
      </c>
    </row>
    <row r="1801" spans="1:13">
      <c r="A1801" s="64" t="s">
        <v>0</v>
      </c>
      <c r="B1801" s="65" t="s">
        <v>0</v>
      </c>
      <c r="C1801" s="58" t="s">
        <v>0</v>
      </c>
      <c r="D1801" s="58" t="s">
        <v>0</v>
      </c>
      <c r="E1801" s="58" t="s">
        <v>0</v>
      </c>
      <c r="F1801" s="58" t="s">
        <v>0</v>
      </c>
      <c r="G1801" s="66" t="s">
        <v>0</v>
      </c>
      <c r="H1801" s="66" t="s">
        <v>0</v>
      </c>
      <c r="I1801" s="66" t="s">
        <v>0</v>
      </c>
      <c r="J1801" s="66" t="s">
        <v>0</v>
      </c>
      <c r="K1801" s="66" t="s">
        <v>0</v>
      </c>
      <c r="L1801" s="35"/>
      <c r="M1801" s="35"/>
    </row>
    <row r="1802" spans="1:13" ht="38.25">
      <c r="A1802" s="56" t="s">
        <v>740</v>
      </c>
      <c r="B1802" s="57" t="s">
        <v>741</v>
      </c>
      <c r="C1802" s="58" t="s">
        <v>0</v>
      </c>
      <c r="D1802" s="58" t="s">
        <v>0</v>
      </c>
      <c r="E1802" s="58" t="s">
        <v>0</v>
      </c>
      <c r="F1802" s="58" t="s">
        <v>0</v>
      </c>
      <c r="G1802" s="30">
        <f>G1803+G1816+G1870+G1890</f>
        <v>11483005.600000001</v>
      </c>
      <c r="H1802" s="30">
        <f>H1803+H1816+H1870+H1890</f>
        <v>11570525.214759998</v>
      </c>
      <c r="I1802" s="30">
        <f>I1803+I1816+I1870+I1890</f>
        <v>8807636.3763900008</v>
      </c>
      <c r="J1802" s="30">
        <f>J1803+J1816+J1870+J1890</f>
        <v>8806084.4258200005</v>
      </c>
      <c r="K1802" s="30">
        <f>K1803+K1816+K1870+K1890</f>
        <v>8727425.355469998</v>
      </c>
      <c r="L1802" s="30">
        <f t="shared" si="802"/>
        <v>75.428082939025231</v>
      </c>
      <c r="M1802" s="30">
        <f t="shared" si="804"/>
        <v>99.089301402871058</v>
      </c>
    </row>
    <row r="1803" spans="1:13">
      <c r="A1803" s="59" t="s">
        <v>16</v>
      </c>
      <c r="B1803" s="28" t="s">
        <v>741</v>
      </c>
      <c r="C1803" s="28" t="s">
        <v>17</v>
      </c>
      <c r="D1803" s="58" t="s">
        <v>0</v>
      </c>
      <c r="E1803" s="58" t="s">
        <v>0</v>
      </c>
      <c r="F1803" s="58" t="s">
        <v>0</v>
      </c>
      <c r="G1803" s="35">
        <f>G1804+G1810</f>
        <v>9948.7999999999993</v>
      </c>
      <c r="H1803" s="35">
        <f t="shared" ref="H1803:K1803" si="821">H1804+H1810</f>
        <v>9948.7999999999993</v>
      </c>
      <c r="I1803" s="35">
        <f t="shared" si="821"/>
        <v>7388.4</v>
      </c>
      <c r="J1803" s="35">
        <f t="shared" si="821"/>
        <v>7388.4</v>
      </c>
      <c r="K1803" s="35">
        <f t="shared" si="821"/>
        <v>6257.4193999999998</v>
      </c>
      <c r="L1803" s="35">
        <f t="shared" si="802"/>
        <v>62.896222660019298</v>
      </c>
      <c r="M1803" s="35">
        <f t="shared" si="804"/>
        <v>84.692482810892756</v>
      </c>
    </row>
    <row r="1804" spans="1:13" ht="51">
      <c r="A1804" s="59" t="s">
        <v>18</v>
      </c>
      <c r="B1804" s="28" t="s">
        <v>741</v>
      </c>
      <c r="C1804" s="28" t="s">
        <v>17</v>
      </c>
      <c r="D1804" s="28" t="s">
        <v>19</v>
      </c>
      <c r="E1804" s="58" t="s">
        <v>0</v>
      </c>
      <c r="F1804" s="58" t="s">
        <v>0</v>
      </c>
      <c r="G1804" s="35">
        <f>G1805</f>
        <v>9848.7999999999993</v>
      </c>
      <c r="H1804" s="35">
        <f t="shared" ref="H1804:K1808" si="822">H1805</f>
        <v>9848.7999999999993</v>
      </c>
      <c r="I1804" s="35">
        <f t="shared" si="822"/>
        <v>7388.4</v>
      </c>
      <c r="J1804" s="35">
        <f t="shared" si="822"/>
        <v>7388.4</v>
      </c>
      <c r="K1804" s="35">
        <f t="shared" si="822"/>
        <v>6257.4193999999998</v>
      </c>
      <c r="L1804" s="35">
        <f t="shared" si="802"/>
        <v>63.534840792786937</v>
      </c>
      <c r="M1804" s="35">
        <f t="shared" si="804"/>
        <v>84.692482810892756</v>
      </c>
    </row>
    <row r="1805" spans="1:13" ht="51">
      <c r="A1805" s="59" t="s">
        <v>742</v>
      </c>
      <c r="B1805" s="28" t="s">
        <v>741</v>
      </c>
      <c r="C1805" s="28" t="s">
        <v>17</v>
      </c>
      <c r="D1805" s="28" t="s">
        <v>19</v>
      </c>
      <c r="E1805" s="28" t="s">
        <v>743</v>
      </c>
      <c r="F1805" s="58" t="s">
        <v>0</v>
      </c>
      <c r="G1805" s="35">
        <f>G1806</f>
        <v>9848.7999999999993</v>
      </c>
      <c r="H1805" s="35">
        <f t="shared" si="822"/>
        <v>9848.7999999999993</v>
      </c>
      <c r="I1805" s="35">
        <f t="shared" si="822"/>
        <v>7388.4</v>
      </c>
      <c r="J1805" s="35">
        <f t="shared" si="822"/>
        <v>7388.4</v>
      </c>
      <c r="K1805" s="35">
        <f t="shared" si="822"/>
        <v>6257.4193999999998</v>
      </c>
      <c r="L1805" s="35">
        <f t="shared" si="802"/>
        <v>63.534840792786937</v>
      </c>
      <c r="M1805" s="35">
        <f t="shared" si="804"/>
        <v>84.692482810892756</v>
      </c>
    </row>
    <row r="1806" spans="1:13" ht="25.5">
      <c r="A1806" s="59" t="s">
        <v>744</v>
      </c>
      <c r="B1806" s="28" t="s">
        <v>741</v>
      </c>
      <c r="C1806" s="28" t="s">
        <v>17</v>
      </c>
      <c r="D1806" s="28" t="s">
        <v>19</v>
      </c>
      <c r="E1806" s="28" t="s">
        <v>745</v>
      </c>
      <c r="F1806" s="58" t="s">
        <v>0</v>
      </c>
      <c r="G1806" s="35">
        <f>G1807</f>
        <v>9848.7999999999993</v>
      </c>
      <c r="H1806" s="35">
        <f t="shared" si="822"/>
        <v>9848.7999999999993</v>
      </c>
      <c r="I1806" s="35">
        <f t="shared" si="822"/>
        <v>7388.4</v>
      </c>
      <c r="J1806" s="35">
        <f t="shared" si="822"/>
        <v>7388.4</v>
      </c>
      <c r="K1806" s="35">
        <f t="shared" si="822"/>
        <v>6257.4193999999998</v>
      </c>
      <c r="L1806" s="35">
        <f t="shared" si="802"/>
        <v>63.534840792786937</v>
      </c>
      <c r="M1806" s="35">
        <f t="shared" si="804"/>
        <v>84.692482810892756</v>
      </c>
    </row>
    <row r="1807" spans="1:13" ht="25.5">
      <c r="A1807" s="59" t="s">
        <v>746</v>
      </c>
      <c r="B1807" s="28" t="s">
        <v>741</v>
      </c>
      <c r="C1807" s="28" t="s">
        <v>17</v>
      </c>
      <c r="D1807" s="28" t="s">
        <v>19</v>
      </c>
      <c r="E1807" s="28" t="s">
        <v>747</v>
      </c>
      <c r="F1807" s="58" t="s">
        <v>0</v>
      </c>
      <c r="G1807" s="35">
        <f>G1808</f>
        <v>9848.7999999999993</v>
      </c>
      <c r="H1807" s="35">
        <f t="shared" si="822"/>
        <v>9848.7999999999993</v>
      </c>
      <c r="I1807" s="35">
        <f t="shared" si="822"/>
        <v>7388.4</v>
      </c>
      <c r="J1807" s="35">
        <f t="shared" si="822"/>
        <v>7388.4</v>
      </c>
      <c r="K1807" s="35">
        <f t="shared" si="822"/>
        <v>6257.4193999999998</v>
      </c>
      <c r="L1807" s="35">
        <f t="shared" si="802"/>
        <v>63.534840792786937</v>
      </c>
      <c r="M1807" s="35">
        <f t="shared" si="804"/>
        <v>84.692482810892756</v>
      </c>
    </row>
    <row r="1808" spans="1:13">
      <c r="A1808" s="59" t="s">
        <v>26</v>
      </c>
      <c r="B1808" s="28" t="s">
        <v>741</v>
      </c>
      <c r="C1808" s="28" t="s">
        <v>17</v>
      </c>
      <c r="D1808" s="28" t="s">
        <v>19</v>
      </c>
      <c r="E1808" s="28" t="s">
        <v>747</v>
      </c>
      <c r="F1808" s="28" t="s">
        <v>27</v>
      </c>
      <c r="G1808" s="35">
        <f>G1809</f>
        <v>9848.7999999999993</v>
      </c>
      <c r="H1808" s="35">
        <f t="shared" si="822"/>
        <v>9848.7999999999993</v>
      </c>
      <c r="I1808" s="35">
        <f t="shared" si="822"/>
        <v>7388.4</v>
      </c>
      <c r="J1808" s="35">
        <f t="shared" si="822"/>
        <v>7388.4</v>
      </c>
      <c r="K1808" s="35">
        <f t="shared" si="822"/>
        <v>6257.4193999999998</v>
      </c>
      <c r="L1808" s="35">
        <f t="shared" si="802"/>
        <v>63.534840792786937</v>
      </c>
      <c r="M1808" s="35">
        <f t="shared" si="804"/>
        <v>84.692482810892756</v>
      </c>
    </row>
    <row r="1809" spans="1:13">
      <c r="A1809" s="59" t="s">
        <v>28</v>
      </c>
      <c r="B1809" s="28" t="s">
        <v>741</v>
      </c>
      <c r="C1809" s="28" t="s">
        <v>17</v>
      </c>
      <c r="D1809" s="28" t="s">
        <v>19</v>
      </c>
      <c r="E1809" s="28" t="s">
        <v>747</v>
      </c>
      <c r="F1809" s="28" t="s">
        <v>29</v>
      </c>
      <c r="G1809" s="35">
        <v>9848.7999999999993</v>
      </c>
      <c r="H1809" s="35">
        <v>9848.7999999999993</v>
      </c>
      <c r="I1809" s="35">
        <v>7388.4</v>
      </c>
      <c r="J1809" s="35">
        <v>7388.4</v>
      </c>
      <c r="K1809" s="35">
        <v>6257.4193999999998</v>
      </c>
      <c r="L1809" s="35">
        <f t="shared" si="802"/>
        <v>63.534840792786937</v>
      </c>
      <c r="M1809" s="35">
        <f t="shared" si="804"/>
        <v>84.692482810892756</v>
      </c>
    </row>
    <row r="1810" spans="1:13">
      <c r="A1810" s="59" t="s">
        <v>386</v>
      </c>
      <c r="B1810" s="28" t="s">
        <v>741</v>
      </c>
      <c r="C1810" s="28" t="s">
        <v>17</v>
      </c>
      <c r="D1810" s="28" t="s">
        <v>387</v>
      </c>
      <c r="E1810" s="58" t="s">
        <v>0</v>
      </c>
      <c r="F1810" s="58" t="s">
        <v>0</v>
      </c>
      <c r="G1810" s="35">
        <f>G1811</f>
        <v>100</v>
      </c>
      <c r="H1810" s="35">
        <f t="shared" ref="H1810:K1813" si="823">H1811</f>
        <v>100</v>
      </c>
      <c r="I1810" s="35">
        <f t="shared" si="823"/>
        <v>0</v>
      </c>
      <c r="J1810" s="35">
        <f t="shared" si="823"/>
        <v>0</v>
      </c>
      <c r="K1810" s="35">
        <f t="shared" si="823"/>
        <v>0</v>
      </c>
      <c r="L1810" s="35">
        <f t="shared" si="802"/>
        <v>0</v>
      </c>
      <c r="M1810" s="35">
        <v>0</v>
      </c>
    </row>
    <row r="1811" spans="1:13" ht="51">
      <c r="A1811" s="59" t="s">
        <v>377</v>
      </c>
      <c r="B1811" s="28" t="s">
        <v>741</v>
      </c>
      <c r="C1811" s="28" t="s">
        <v>17</v>
      </c>
      <c r="D1811" s="28" t="s">
        <v>387</v>
      </c>
      <c r="E1811" s="28" t="s">
        <v>378</v>
      </c>
      <c r="F1811" s="58" t="s">
        <v>0</v>
      </c>
      <c r="G1811" s="35">
        <f>G1812</f>
        <v>100</v>
      </c>
      <c r="H1811" s="35">
        <f t="shared" si="823"/>
        <v>100</v>
      </c>
      <c r="I1811" s="35">
        <f t="shared" si="823"/>
        <v>0</v>
      </c>
      <c r="J1811" s="35">
        <f t="shared" si="823"/>
        <v>0</v>
      </c>
      <c r="K1811" s="35">
        <f t="shared" si="823"/>
        <v>0</v>
      </c>
      <c r="L1811" s="35">
        <f t="shared" si="802"/>
        <v>0</v>
      </c>
      <c r="M1811" s="35">
        <v>0</v>
      </c>
    </row>
    <row r="1812" spans="1:13" ht="25.5">
      <c r="A1812" s="59" t="s">
        <v>748</v>
      </c>
      <c r="B1812" s="28" t="s">
        <v>741</v>
      </c>
      <c r="C1812" s="28" t="s">
        <v>17</v>
      </c>
      <c r="D1812" s="28" t="s">
        <v>387</v>
      </c>
      <c r="E1812" s="28" t="s">
        <v>749</v>
      </c>
      <c r="F1812" s="58" t="s">
        <v>0</v>
      </c>
      <c r="G1812" s="35">
        <f>G1813</f>
        <v>100</v>
      </c>
      <c r="H1812" s="35">
        <f t="shared" si="823"/>
        <v>100</v>
      </c>
      <c r="I1812" s="35">
        <f t="shared" si="823"/>
        <v>0</v>
      </c>
      <c r="J1812" s="35">
        <f t="shared" si="823"/>
        <v>0</v>
      </c>
      <c r="K1812" s="35">
        <f t="shared" si="823"/>
        <v>0</v>
      </c>
      <c r="L1812" s="35">
        <f t="shared" si="802"/>
        <v>0</v>
      </c>
      <c r="M1812" s="35">
        <v>0</v>
      </c>
    </row>
    <row r="1813" spans="1:13" ht="25.5">
      <c r="A1813" s="59" t="s">
        <v>64</v>
      </c>
      <c r="B1813" s="28" t="s">
        <v>741</v>
      </c>
      <c r="C1813" s="28" t="s">
        <v>17</v>
      </c>
      <c r="D1813" s="28" t="s">
        <v>387</v>
      </c>
      <c r="E1813" s="28" t="s">
        <v>749</v>
      </c>
      <c r="F1813" s="28" t="s">
        <v>65</v>
      </c>
      <c r="G1813" s="35">
        <f>G1814</f>
        <v>100</v>
      </c>
      <c r="H1813" s="35">
        <f t="shared" si="823"/>
        <v>100</v>
      </c>
      <c r="I1813" s="35">
        <f t="shared" si="823"/>
        <v>0</v>
      </c>
      <c r="J1813" s="35">
        <f t="shared" si="823"/>
        <v>0</v>
      </c>
      <c r="K1813" s="35">
        <f t="shared" si="823"/>
        <v>0</v>
      </c>
      <c r="L1813" s="35">
        <f t="shared" si="802"/>
        <v>0</v>
      </c>
      <c r="M1813" s="35">
        <v>0</v>
      </c>
    </row>
    <row r="1814" spans="1:13" ht="25.5">
      <c r="A1814" s="59" t="s">
        <v>66</v>
      </c>
      <c r="B1814" s="28" t="s">
        <v>741</v>
      </c>
      <c r="C1814" s="28" t="s">
        <v>17</v>
      </c>
      <c r="D1814" s="28" t="s">
        <v>387</v>
      </c>
      <c r="E1814" s="28" t="s">
        <v>749</v>
      </c>
      <c r="F1814" s="28" t="s">
        <v>67</v>
      </c>
      <c r="G1814" s="35">
        <v>100</v>
      </c>
      <c r="H1814" s="35">
        <v>100</v>
      </c>
      <c r="I1814" s="35">
        <v>0</v>
      </c>
      <c r="J1814" s="35">
        <v>0</v>
      </c>
      <c r="K1814" s="35">
        <v>0</v>
      </c>
      <c r="L1814" s="35">
        <f t="shared" si="802"/>
        <v>0</v>
      </c>
      <c r="M1814" s="35">
        <v>0</v>
      </c>
    </row>
    <row r="1815" spans="1:13">
      <c r="A1815" s="60" t="s">
        <v>0</v>
      </c>
      <c r="B1815" s="58" t="s">
        <v>0</v>
      </c>
      <c r="C1815" s="58" t="s">
        <v>0</v>
      </c>
      <c r="D1815" s="58" t="s">
        <v>0</v>
      </c>
      <c r="E1815" s="58" t="s">
        <v>0</v>
      </c>
      <c r="F1815" s="58" t="s">
        <v>0</v>
      </c>
      <c r="G1815" s="61" t="s">
        <v>0</v>
      </c>
      <c r="H1815" s="61" t="s">
        <v>0</v>
      </c>
      <c r="I1815" s="61" t="s">
        <v>0</v>
      </c>
      <c r="J1815" s="61" t="s">
        <v>0</v>
      </c>
      <c r="K1815" s="61" t="s">
        <v>0</v>
      </c>
      <c r="L1815" s="35"/>
      <c r="M1815" s="35"/>
    </row>
    <row r="1816" spans="1:13">
      <c r="A1816" s="59" t="s">
        <v>30</v>
      </c>
      <c r="B1816" s="28" t="s">
        <v>741</v>
      </c>
      <c r="C1816" s="28" t="s">
        <v>19</v>
      </c>
      <c r="D1816" s="58" t="s">
        <v>0</v>
      </c>
      <c r="E1816" s="58" t="s">
        <v>0</v>
      </c>
      <c r="F1816" s="58" t="s">
        <v>0</v>
      </c>
      <c r="G1816" s="35">
        <f>G1817</f>
        <v>444606.8</v>
      </c>
      <c r="H1816" s="35">
        <f t="shared" ref="H1816:K1816" si="824">H1817</f>
        <v>461855.33421000006</v>
      </c>
      <c r="I1816" s="35">
        <f t="shared" si="824"/>
        <v>332843.56899999996</v>
      </c>
      <c r="J1816" s="35">
        <f t="shared" si="824"/>
        <v>331653.56899999996</v>
      </c>
      <c r="K1816" s="35">
        <f t="shared" si="824"/>
        <v>301025.88419999997</v>
      </c>
      <c r="L1816" s="35">
        <f t="shared" si="802"/>
        <v>65.177526793081725</v>
      </c>
      <c r="M1816" s="35">
        <f t="shared" si="804"/>
        <v>90.440649072597822</v>
      </c>
    </row>
    <row r="1817" spans="1:13">
      <c r="A1817" s="59" t="s">
        <v>230</v>
      </c>
      <c r="B1817" s="28" t="s">
        <v>741</v>
      </c>
      <c r="C1817" s="28" t="s">
        <v>19</v>
      </c>
      <c r="D1817" s="28" t="s">
        <v>17</v>
      </c>
      <c r="E1817" s="58" t="s">
        <v>0</v>
      </c>
      <c r="F1817" s="58" t="s">
        <v>0</v>
      </c>
      <c r="G1817" s="35">
        <f>G1818+G1829</f>
        <v>444606.8</v>
      </c>
      <c r="H1817" s="35">
        <f t="shared" ref="H1817:K1817" si="825">H1818+H1829</f>
        <v>461855.33421000006</v>
      </c>
      <c r="I1817" s="35">
        <f t="shared" si="825"/>
        <v>332843.56899999996</v>
      </c>
      <c r="J1817" s="35">
        <f t="shared" si="825"/>
        <v>331653.56899999996</v>
      </c>
      <c r="K1817" s="35">
        <f t="shared" si="825"/>
        <v>301025.88419999997</v>
      </c>
      <c r="L1817" s="35">
        <f t="shared" si="802"/>
        <v>65.177526793081725</v>
      </c>
      <c r="M1817" s="35">
        <f t="shared" si="804"/>
        <v>90.440649072597822</v>
      </c>
    </row>
    <row r="1818" spans="1:13" ht="38.25">
      <c r="A1818" s="59" t="s">
        <v>299</v>
      </c>
      <c r="B1818" s="28" t="s">
        <v>741</v>
      </c>
      <c r="C1818" s="28" t="s">
        <v>19</v>
      </c>
      <c r="D1818" s="28" t="s">
        <v>17</v>
      </c>
      <c r="E1818" s="28" t="s">
        <v>300</v>
      </c>
      <c r="F1818" s="58" t="s">
        <v>0</v>
      </c>
      <c r="G1818" s="35">
        <f>G1819</f>
        <v>1981</v>
      </c>
      <c r="H1818" s="35">
        <f t="shared" ref="H1818:K1827" si="826">H1819</f>
        <v>3181</v>
      </c>
      <c r="I1818" s="35">
        <f t="shared" si="826"/>
        <v>602.24</v>
      </c>
      <c r="J1818" s="35">
        <f t="shared" si="826"/>
        <v>602.24</v>
      </c>
      <c r="K1818" s="35">
        <f t="shared" si="826"/>
        <v>202.24</v>
      </c>
      <c r="L1818" s="35">
        <f t="shared" si="802"/>
        <v>6.3577491354919839</v>
      </c>
      <c r="M1818" s="35">
        <f t="shared" si="804"/>
        <v>33.581296493092452</v>
      </c>
    </row>
    <row r="1819" spans="1:13">
      <c r="A1819" s="59" t="s">
        <v>301</v>
      </c>
      <c r="B1819" s="28" t="s">
        <v>741</v>
      </c>
      <c r="C1819" s="28" t="s">
        <v>19</v>
      </c>
      <c r="D1819" s="28" t="s">
        <v>17</v>
      </c>
      <c r="E1819" s="28" t="s">
        <v>302</v>
      </c>
      <c r="F1819" s="58" t="s">
        <v>0</v>
      </c>
      <c r="G1819" s="35">
        <f>G1826</f>
        <v>1981</v>
      </c>
      <c r="H1819" s="35">
        <f>H1826+H1820+H1823</f>
        <v>3181</v>
      </c>
      <c r="I1819" s="35">
        <f t="shared" ref="I1819:K1819" si="827">I1826+I1820+I1823</f>
        <v>602.24</v>
      </c>
      <c r="J1819" s="35">
        <f t="shared" si="827"/>
        <v>602.24</v>
      </c>
      <c r="K1819" s="35">
        <f t="shared" si="827"/>
        <v>202.24</v>
      </c>
      <c r="L1819" s="35">
        <f t="shared" si="802"/>
        <v>6.3577491354919839</v>
      </c>
      <c r="M1819" s="35">
        <f t="shared" si="804"/>
        <v>33.581296493092452</v>
      </c>
    </row>
    <row r="1820" spans="1:13" s="92" customFormat="1" ht="38.25">
      <c r="A1820" s="62" t="s">
        <v>1257</v>
      </c>
      <c r="B1820" s="28" t="s">
        <v>741</v>
      </c>
      <c r="C1820" s="28" t="s">
        <v>19</v>
      </c>
      <c r="D1820" s="28" t="s">
        <v>17</v>
      </c>
      <c r="E1820" s="29" t="s">
        <v>1256</v>
      </c>
      <c r="F1820" s="58"/>
      <c r="G1820" s="35"/>
      <c r="H1820" s="35">
        <f>H1821</f>
        <v>1200</v>
      </c>
      <c r="I1820" s="35">
        <f t="shared" ref="I1820:K1821" si="828">I1821</f>
        <v>71.239999999999995</v>
      </c>
      <c r="J1820" s="35">
        <f t="shared" si="828"/>
        <v>71.239999999999995</v>
      </c>
      <c r="K1820" s="35">
        <f t="shared" si="828"/>
        <v>71.239999999999995</v>
      </c>
      <c r="L1820" s="35">
        <f t="shared" si="802"/>
        <v>5.9366666666666665</v>
      </c>
      <c r="M1820" s="35">
        <f t="shared" si="804"/>
        <v>100</v>
      </c>
    </row>
    <row r="1821" spans="1:13" s="92" customFormat="1" ht="25.5">
      <c r="A1821" s="59" t="s">
        <v>64</v>
      </c>
      <c r="B1821" s="28" t="s">
        <v>741</v>
      </c>
      <c r="C1821" s="28" t="s">
        <v>19</v>
      </c>
      <c r="D1821" s="28" t="s">
        <v>17</v>
      </c>
      <c r="E1821" s="28" t="s">
        <v>1256</v>
      </c>
      <c r="F1821" s="28">
        <v>200</v>
      </c>
      <c r="G1821" s="35"/>
      <c r="H1821" s="35">
        <f>H1822</f>
        <v>1200</v>
      </c>
      <c r="I1821" s="35">
        <f t="shared" si="828"/>
        <v>71.239999999999995</v>
      </c>
      <c r="J1821" s="35">
        <f t="shared" si="828"/>
        <v>71.239999999999995</v>
      </c>
      <c r="K1821" s="35">
        <f t="shared" si="828"/>
        <v>71.239999999999995</v>
      </c>
      <c r="L1821" s="35">
        <f t="shared" si="802"/>
        <v>5.9366666666666665</v>
      </c>
      <c r="M1821" s="35">
        <f t="shared" si="804"/>
        <v>100</v>
      </c>
    </row>
    <row r="1822" spans="1:13" s="92" customFormat="1" ht="25.5">
      <c r="A1822" s="59" t="s">
        <v>66</v>
      </c>
      <c r="B1822" s="28" t="s">
        <v>741</v>
      </c>
      <c r="C1822" s="28" t="s">
        <v>19</v>
      </c>
      <c r="D1822" s="28" t="s">
        <v>17</v>
      </c>
      <c r="E1822" s="28" t="s">
        <v>1256</v>
      </c>
      <c r="F1822" s="28">
        <v>240</v>
      </c>
      <c r="G1822" s="35"/>
      <c r="H1822" s="35">
        <v>1200</v>
      </c>
      <c r="I1822" s="35">
        <v>71.239999999999995</v>
      </c>
      <c r="J1822" s="35">
        <v>71.239999999999995</v>
      </c>
      <c r="K1822" s="35">
        <v>71.239999999999995</v>
      </c>
      <c r="L1822" s="35">
        <f t="shared" si="802"/>
        <v>5.9366666666666665</v>
      </c>
      <c r="M1822" s="35">
        <f t="shared" si="804"/>
        <v>100</v>
      </c>
    </row>
    <row r="1823" spans="1:13" s="92" customFormat="1" ht="38.25">
      <c r="A1823" s="62" t="s">
        <v>1243</v>
      </c>
      <c r="B1823" s="28" t="s">
        <v>741</v>
      </c>
      <c r="C1823" s="28" t="s">
        <v>19</v>
      </c>
      <c r="D1823" s="28" t="s">
        <v>17</v>
      </c>
      <c r="E1823" s="29" t="s">
        <v>1115</v>
      </c>
      <c r="F1823" s="58"/>
      <c r="G1823" s="35"/>
      <c r="H1823" s="35">
        <f>H1824</f>
        <v>1981</v>
      </c>
      <c r="I1823" s="35">
        <f t="shared" ref="I1823:K1824" si="829">I1824</f>
        <v>531</v>
      </c>
      <c r="J1823" s="35">
        <f t="shared" si="829"/>
        <v>531</v>
      </c>
      <c r="K1823" s="35">
        <f t="shared" si="829"/>
        <v>131</v>
      </c>
      <c r="L1823" s="35">
        <f t="shared" si="802"/>
        <v>6.6128218071680971</v>
      </c>
      <c r="M1823" s="35">
        <f t="shared" si="804"/>
        <v>24.670433145009415</v>
      </c>
    </row>
    <row r="1824" spans="1:13" s="92" customFormat="1" ht="25.5">
      <c r="A1824" s="59" t="s">
        <v>64</v>
      </c>
      <c r="B1824" s="28" t="s">
        <v>741</v>
      </c>
      <c r="C1824" s="28" t="s">
        <v>19</v>
      </c>
      <c r="D1824" s="28" t="s">
        <v>17</v>
      </c>
      <c r="E1824" s="29" t="s">
        <v>1115</v>
      </c>
      <c r="F1824" s="28">
        <v>200</v>
      </c>
      <c r="G1824" s="35"/>
      <c r="H1824" s="35">
        <f>H1825</f>
        <v>1981</v>
      </c>
      <c r="I1824" s="35">
        <f t="shared" si="829"/>
        <v>531</v>
      </c>
      <c r="J1824" s="35">
        <f t="shared" si="829"/>
        <v>531</v>
      </c>
      <c r="K1824" s="35">
        <f t="shared" si="829"/>
        <v>131</v>
      </c>
      <c r="L1824" s="35">
        <f t="shared" si="802"/>
        <v>6.6128218071680971</v>
      </c>
      <c r="M1824" s="35">
        <f t="shared" si="804"/>
        <v>24.670433145009415</v>
      </c>
    </row>
    <row r="1825" spans="1:13" s="92" customFormat="1" ht="25.5">
      <c r="A1825" s="59" t="s">
        <v>66</v>
      </c>
      <c r="B1825" s="28" t="s">
        <v>741</v>
      </c>
      <c r="C1825" s="28" t="s">
        <v>19</v>
      </c>
      <c r="D1825" s="28" t="s">
        <v>17</v>
      </c>
      <c r="E1825" s="29" t="s">
        <v>1115</v>
      </c>
      <c r="F1825" s="28">
        <v>240</v>
      </c>
      <c r="G1825" s="35"/>
      <c r="H1825" s="35">
        <v>1981</v>
      </c>
      <c r="I1825" s="35">
        <v>531</v>
      </c>
      <c r="J1825" s="35">
        <v>531</v>
      </c>
      <c r="K1825" s="35">
        <v>131</v>
      </c>
      <c r="L1825" s="35">
        <f t="shared" si="802"/>
        <v>6.6128218071680971</v>
      </c>
      <c r="M1825" s="35">
        <f t="shared" si="804"/>
        <v>24.670433145009415</v>
      </c>
    </row>
    <row r="1826" spans="1:13" ht="25.5">
      <c r="A1826" s="59" t="s">
        <v>76</v>
      </c>
      <c r="B1826" s="28" t="s">
        <v>741</v>
      </c>
      <c r="C1826" s="28" t="s">
        <v>19</v>
      </c>
      <c r="D1826" s="28" t="s">
        <v>17</v>
      </c>
      <c r="E1826" s="28" t="s">
        <v>356</v>
      </c>
      <c r="F1826" s="58" t="s">
        <v>0</v>
      </c>
      <c r="G1826" s="35">
        <f>G1827</f>
        <v>1981</v>
      </c>
      <c r="H1826" s="35">
        <f t="shared" si="826"/>
        <v>0</v>
      </c>
      <c r="I1826" s="35">
        <f t="shared" si="826"/>
        <v>0</v>
      </c>
      <c r="J1826" s="35">
        <f t="shared" si="826"/>
        <v>0</v>
      </c>
      <c r="K1826" s="35">
        <f t="shared" si="826"/>
        <v>0</v>
      </c>
      <c r="L1826" s="35">
        <v>0</v>
      </c>
      <c r="M1826" s="35">
        <v>0</v>
      </c>
    </row>
    <row r="1827" spans="1:13" ht="25.5">
      <c r="A1827" s="59" t="s">
        <v>64</v>
      </c>
      <c r="B1827" s="28" t="s">
        <v>741</v>
      </c>
      <c r="C1827" s="28" t="s">
        <v>19</v>
      </c>
      <c r="D1827" s="28" t="s">
        <v>17</v>
      </c>
      <c r="E1827" s="28" t="s">
        <v>356</v>
      </c>
      <c r="F1827" s="28" t="s">
        <v>65</v>
      </c>
      <c r="G1827" s="35">
        <f>G1828</f>
        <v>1981</v>
      </c>
      <c r="H1827" s="35">
        <f t="shared" si="826"/>
        <v>0</v>
      </c>
      <c r="I1827" s="35">
        <f t="shared" si="826"/>
        <v>0</v>
      </c>
      <c r="J1827" s="35">
        <f t="shared" si="826"/>
        <v>0</v>
      </c>
      <c r="K1827" s="35">
        <f t="shared" si="826"/>
        <v>0</v>
      </c>
      <c r="L1827" s="35">
        <v>0</v>
      </c>
      <c r="M1827" s="35">
        <v>0</v>
      </c>
    </row>
    <row r="1828" spans="1:13" ht="25.5">
      <c r="A1828" s="59" t="s">
        <v>66</v>
      </c>
      <c r="B1828" s="28" t="s">
        <v>741</v>
      </c>
      <c r="C1828" s="28" t="s">
        <v>19</v>
      </c>
      <c r="D1828" s="28" t="s">
        <v>17</v>
      </c>
      <c r="E1828" s="28" t="s">
        <v>356</v>
      </c>
      <c r="F1828" s="28" t="s">
        <v>67</v>
      </c>
      <c r="G1828" s="35">
        <v>1981</v>
      </c>
      <c r="H1828" s="35">
        <v>0</v>
      </c>
      <c r="I1828" s="35">
        <v>0</v>
      </c>
      <c r="J1828" s="35">
        <v>0</v>
      </c>
      <c r="K1828" s="35">
        <v>0</v>
      </c>
      <c r="L1828" s="35">
        <v>0</v>
      </c>
      <c r="M1828" s="35">
        <v>0</v>
      </c>
    </row>
    <row r="1829" spans="1:13" ht="51">
      <c r="A1829" s="59" t="s">
        <v>742</v>
      </c>
      <c r="B1829" s="28" t="s">
        <v>741</v>
      </c>
      <c r="C1829" s="28" t="s">
        <v>19</v>
      </c>
      <c r="D1829" s="28" t="s">
        <v>17</v>
      </c>
      <c r="E1829" s="28" t="s">
        <v>743</v>
      </c>
      <c r="F1829" s="58" t="s">
        <v>0</v>
      </c>
      <c r="G1829" s="35">
        <f>G1830+G1862</f>
        <v>442625.8</v>
      </c>
      <c r="H1829" s="35">
        <f t="shared" ref="H1829:K1829" si="830">H1830+H1862</f>
        <v>458674.33421000006</v>
      </c>
      <c r="I1829" s="35">
        <f t="shared" si="830"/>
        <v>332241.32899999997</v>
      </c>
      <c r="J1829" s="35">
        <f t="shared" si="830"/>
        <v>331051.32899999997</v>
      </c>
      <c r="K1829" s="35">
        <f t="shared" si="830"/>
        <v>300823.64419999998</v>
      </c>
      <c r="L1829" s="35">
        <f t="shared" ref="L1829:L1890" si="831">K1829/H1829*100</f>
        <v>65.585453940457555</v>
      </c>
      <c r="M1829" s="35">
        <f t="shared" ref="M1829:M1890" si="832">K1829/I1829*100</f>
        <v>90.543715649536182</v>
      </c>
    </row>
    <row r="1830" spans="1:13" ht="38.25">
      <c r="A1830" s="59" t="s">
        <v>750</v>
      </c>
      <c r="B1830" s="28" t="s">
        <v>741</v>
      </c>
      <c r="C1830" s="28" t="s">
        <v>19</v>
      </c>
      <c r="D1830" s="28" t="s">
        <v>17</v>
      </c>
      <c r="E1830" s="28" t="s">
        <v>751</v>
      </c>
      <c r="F1830" s="58" t="s">
        <v>0</v>
      </c>
      <c r="G1830" s="35">
        <f>G1831+G1841+G1844+G1854</f>
        <v>436174.3</v>
      </c>
      <c r="H1830" s="35">
        <f t="shared" ref="H1830:K1830" si="833">H1831+H1841+H1844+H1854</f>
        <v>436174.33421000006</v>
      </c>
      <c r="I1830" s="35">
        <f t="shared" si="833"/>
        <v>329561.32899999997</v>
      </c>
      <c r="J1830" s="35">
        <f t="shared" si="833"/>
        <v>329561.32899999997</v>
      </c>
      <c r="K1830" s="35">
        <f t="shared" si="833"/>
        <v>299372.87523999996</v>
      </c>
      <c r="L1830" s="35">
        <f t="shared" si="831"/>
        <v>68.636059428445009</v>
      </c>
      <c r="M1830" s="35">
        <f t="shared" si="832"/>
        <v>90.839807009031688</v>
      </c>
    </row>
    <row r="1831" spans="1:13" ht="25.5">
      <c r="A1831" s="59" t="s">
        <v>58</v>
      </c>
      <c r="B1831" s="28" t="s">
        <v>741</v>
      </c>
      <c r="C1831" s="28" t="s">
        <v>19</v>
      </c>
      <c r="D1831" s="28" t="s">
        <v>17</v>
      </c>
      <c r="E1831" s="28" t="s">
        <v>752</v>
      </c>
      <c r="F1831" s="58" t="s">
        <v>0</v>
      </c>
      <c r="G1831" s="35">
        <f>G1832+G1834+G1836+G1838</f>
        <v>101782.7</v>
      </c>
      <c r="H1831" s="35">
        <f t="shared" ref="H1831:K1831" si="834">H1832+H1834+H1836+H1838</f>
        <v>101782.7</v>
      </c>
      <c r="I1831" s="35">
        <f t="shared" si="834"/>
        <v>80154.28</v>
      </c>
      <c r="J1831" s="35">
        <f t="shared" si="834"/>
        <v>80154.28</v>
      </c>
      <c r="K1831" s="35">
        <f t="shared" si="834"/>
        <v>70420.198120000001</v>
      </c>
      <c r="L1831" s="35">
        <f t="shared" si="831"/>
        <v>69.186804948188637</v>
      </c>
      <c r="M1831" s="35">
        <f t="shared" si="832"/>
        <v>87.855817705554841</v>
      </c>
    </row>
    <row r="1832" spans="1:13" ht="63.75">
      <c r="A1832" s="59" t="s">
        <v>60</v>
      </c>
      <c r="B1832" s="28" t="s">
        <v>741</v>
      </c>
      <c r="C1832" s="28" t="s">
        <v>19</v>
      </c>
      <c r="D1832" s="28" t="s">
        <v>17</v>
      </c>
      <c r="E1832" s="28" t="s">
        <v>752</v>
      </c>
      <c r="F1832" s="28" t="s">
        <v>61</v>
      </c>
      <c r="G1832" s="35">
        <f>G1833</f>
        <v>96424</v>
      </c>
      <c r="H1832" s="35">
        <f t="shared" ref="H1832:K1832" si="835">H1833</f>
        <v>96424</v>
      </c>
      <c r="I1832" s="35">
        <f t="shared" si="835"/>
        <v>76783.899999999994</v>
      </c>
      <c r="J1832" s="35">
        <f t="shared" si="835"/>
        <v>76783.899999999994</v>
      </c>
      <c r="K1832" s="35">
        <f t="shared" si="835"/>
        <v>68766.767189999999</v>
      </c>
      <c r="L1832" s="35">
        <f t="shared" si="831"/>
        <v>71.317065450510242</v>
      </c>
      <c r="M1832" s="35">
        <f t="shared" si="832"/>
        <v>89.55883614924484</v>
      </c>
    </row>
    <row r="1833" spans="1:13" ht="25.5">
      <c r="A1833" s="59" t="s">
        <v>62</v>
      </c>
      <c r="B1833" s="28" t="s">
        <v>741</v>
      </c>
      <c r="C1833" s="28" t="s">
        <v>19</v>
      </c>
      <c r="D1833" s="28" t="s">
        <v>17</v>
      </c>
      <c r="E1833" s="28" t="s">
        <v>752</v>
      </c>
      <c r="F1833" s="28" t="s">
        <v>63</v>
      </c>
      <c r="G1833" s="35">
        <v>96424</v>
      </c>
      <c r="H1833" s="35">
        <f>71428.2+3558.9+21436.9</f>
        <v>96424</v>
      </c>
      <c r="I1833" s="35">
        <f>56185.8+3398+17200.1</f>
        <v>76783.899999999994</v>
      </c>
      <c r="J1833" s="35">
        <f>56185.8+3398+17200.1</f>
        <v>76783.899999999994</v>
      </c>
      <c r="K1833" s="35">
        <f>49753.99089+3143.35452+15869.42178</f>
        <v>68766.767189999999</v>
      </c>
      <c r="L1833" s="35">
        <f t="shared" si="831"/>
        <v>71.317065450510242</v>
      </c>
      <c r="M1833" s="35">
        <f t="shared" si="832"/>
        <v>89.55883614924484</v>
      </c>
    </row>
    <row r="1834" spans="1:13" ht="25.5">
      <c r="A1834" s="59" t="s">
        <v>64</v>
      </c>
      <c r="B1834" s="28" t="s">
        <v>741</v>
      </c>
      <c r="C1834" s="28" t="s">
        <v>19</v>
      </c>
      <c r="D1834" s="28" t="s">
        <v>17</v>
      </c>
      <c r="E1834" s="28" t="s">
        <v>752</v>
      </c>
      <c r="F1834" s="28" t="s">
        <v>65</v>
      </c>
      <c r="G1834" s="35">
        <f>G1835</f>
        <v>5278.9</v>
      </c>
      <c r="H1834" s="35">
        <f t="shared" ref="H1834:K1834" si="836">H1835</f>
        <v>5278.9</v>
      </c>
      <c r="I1834" s="35">
        <f t="shared" si="836"/>
        <v>3306.6</v>
      </c>
      <c r="J1834" s="35">
        <f t="shared" si="836"/>
        <v>3306.6</v>
      </c>
      <c r="K1834" s="35">
        <f t="shared" si="836"/>
        <v>1646.52658</v>
      </c>
      <c r="L1834" s="35">
        <f t="shared" si="831"/>
        <v>31.190713595635454</v>
      </c>
      <c r="M1834" s="35">
        <f t="shared" si="832"/>
        <v>49.795154539406042</v>
      </c>
    </row>
    <row r="1835" spans="1:13" ht="25.5">
      <c r="A1835" s="59" t="s">
        <v>66</v>
      </c>
      <c r="B1835" s="28" t="s">
        <v>741</v>
      </c>
      <c r="C1835" s="28" t="s">
        <v>19</v>
      </c>
      <c r="D1835" s="28" t="s">
        <v>17</v>
      </c>
      <c r="E1835" s="28" t="s">
        <v>752</v>
      </c>
      <c r="F1835" s="28" t="s">
        <v>67</v>
      </c>
      <c r="G1835" s="35">
        <v>5278.9</v>
      </c>
      <c r="H1835" s="35">
        <v>5278.9</v>
      </c>
      <c r="I1835" s="35">
        <v>3306.6</v>
      </c>
      <c r="J1835" s="35">
        <v>3306.6</v>
      </c>
      <c r="K1835" s="35">
        <v>1646.52658</v>
      </c>
      <c r="L1835" s="35">
        <f t="shared" si="831"/>
        <v>31.190713595635454</v>
      </c>
      <c r="M1835" s="35">
        <f t="shared" si="832"/>
        <v>49.795154539406042</v>
      </c>
    </row>
    <row r="1836" spans="1:13">
      <c r="A1836" s="59" t="s">
        <v>68</v>
      </c>
      <c r="B1836" s="28" t="s">
        <v>741</v>
      </c>
      <c r="C1836" s="28" t="s">
        <v>19</v>
      </c>
      <c r="D1836" s="28" t="s">
        <v>17</v>
      </c>
      <c r="E1836" s="28" t="s">
        <v>752</v>
      </c>
      <c r="F1836" s="28" t="s">
        <v>69</v>
      </c>
      <c r="G1836" s="35">
        <f>G1837</f>
        <v>30</v>
      </c>
      <c r="H1836" s="35">
        <f t="shared" ref="H1836:K1836" si="837">H1837</f>
        <v>30</v>
      </c>
      <c r="I1836" s="35">
        <f t="shared" si="837"/>
        <v>30</v>
      </c>
      <c r="J1836" s="35">
        <f t="shared" si="837"/>
        <v>30</v>
      </c>
      <c r="K1836" s="35">
        <f t="shared" si="837"/>
        <v>0</v>
      </c>
      <c r="L1836" s="35">
        <f t="shared" si="831"/>
        <v>0</v>
      </c>
      <c r="M1836" s="35">
        <f t="shared" si="832"/>
        <v>0</v>
      </c>
    </row>
    <row r="1837" spans="1:13">
      <c r="A1837" s="59" t="s">
        <v>70</v>
      </c>
      <c r="B1837" s="28" t="s">
        <v>741</v>
      </c>
      <c r="C1837" s="28" t="s">
        <v>19</v>
      </c>
      <c r="D1837" s="28" t="s">
        <v>17</v>
      </c>
      <c r="E1837" s="28" t="s">
        <v>752</v>
      </c>
      <c r="F1837" s="28" t="s">
        <v>71</v>
      </c>
      <c r="G1837" s="35">
        <v>30</v>
      </c>
      <c r="H1837" s="35">
        <v>30</v>
      </c>
      <c r="I1837" s="35">
        <v>30</v>
      </c>
      <c r="J1837" s="35">
        <v>30</v>
      </c>
      <c r="K1837" s="35">
        <v>0</v>
      </c>
      <c r="L1837" s="35">
        <f t="shared" si="831"/>
        <v>0</v>
      </c>
      <c r="M1837" s="35">
        <f t="shared" si="832"/>
        <v>0</v>
      </c>
    </row>
    <row r="1838" spans="1:13">
      <c r="A1838" s="59" t="s">
        <v>72</v>
      </c>
      <c r="B1838" s="28" t="s">
        <v>741</v>
      </c>
      <c r="C1838" s="28" t="s">
        <v>19</v>
      </c>
      <c r="D1838" s="28" t="s">
        <v>17</v>
      </c>
      <c r="E1838" s="28" t="s">
        <v>752</v>
      </c>
      <c r="F1838" s="28" t="s">
        <v>73</v>
      </c>
      <c r="G1838" s="35">
        <f>G1839+G1840</f>
        <v>49.8</v>
      </c>
      <c r="H1838" s="35">
        <f t="shared" ref="H1838:K1838" si="838">H1839+H1840</f>
        <v>49.8</v>
      </c>
      <c r="I1838" s="35">
        <f t="shared" si="838"/>
        <v>33.78</v>
      </c>
      <c r="J1838" s="35">
        <f t="shared" si="838"/>
        <v>33.78</v>
      </c>
      <c r="K1838" s="35">
        <f t="shared" si="838"/>
        <v>6.90435</v>
      </c>
      <c r="L1838" s="35">
        <f t="shared" si="831"/>
        <v>13.864156626506025</v>
      </c>
      <c r="M1838" s="35">
        <f t="shared" si="832"/>
        <v>20.439165186500887</v>
      </c>
    </row>
    <row r="1839" spans="1:13">
      <c r="A1839" s="59" t="s">
        <v>84</v>
      </c>
      <c r="B1839" s="28" t="s">
        <v>741</v>
      </c>
      <c r="C1839" s="28" t="s">
        <v>19</v>
      </c>
      <c r="D1839" s="28" t="s">
        <v>17</v>
      </c>
      <c r="E1839" s="28" t="s">
        <v>752</v>
      </c>
      <c r="F1839" s="28" t="s">
        <v>85</v>
      </c>
      <c r="G1839" s="35">
        <v>5</v>
      </c>
      <c r="H1839" s="35">
        <v>5</v>
      </c>
      <c r="I1839" s="35">
        <v>5</v>
      </c>
      <c r="J1839" s="35">
        <v>5</v>
      </c>
      <c r="K1839" s="35">
        <v>0.3</v>
      </c>
      <c r="L1839" s="35">
        <f t="shared" si="831"/>
        <v>6</v>
      </c>
      <c r="M1839" s="35">
        <f t="shared" si="832"/>
        <v>6</v>
      </c>
    </row>
    <row r="1840" spans="1:13">
      <c r="A1840" s="59" t="s">
        <v>74</v>
      </c>
      <c r="B1840" s="28" t="s">
        <v>741</v>
      </c>
      <c r="C1840" s="28" t="s">
        <v>19</v>
      </c>
      <c r="D1840" s="28" t="s">
        <v>17</v>
      </c>
      <c r="E1840" s="28" t="s">
        <v>752</v>
      </c>
      <c r="F1840" s="28" t="s">
        <v>75</v>
      </c>
      <c r="G1840" s="35">
        <v>44.8</v>
      </c>
      <c r="H1840" s="35">
        <f>12.8+31+1</f>
        <v>44.8</v>
      </c>
      <c r="I1840" s="35">
        <v>28.78</v>
      </c>
      <c r="J1840" s="35">
        <v>28.78</v>
      </c>
      <c r="K1840" s="35">
        <f>6.009+0.514+0.08135</f>
        <v>6.6043500000000002</v>
      </c>
      <c r="L1840" s="35">
        <f t="shared" si="831"/>
        <v>14.74185267857143</v>
      </c>
      <c r="M1840" s="35">
        <f t="shared" si="832"/>
        <v>22.947706740792217</v>
      </c>
    </row>
    <row r="1841" spans="1:13">
      <c r="A1841" s="59" t="s">
        <v>609</v>
      </c>
      <c r="B1841" s="28" t="s">
        <v>741</v>
      </c>
      <c r="C1841" s="28" t="s">
        <v>19</v>
      </c>
      <c r="D1841" s="28" t="s">
        <v>17</v>
      </c>
      <c r="E1841" s="28" t="s">
        <v>753</v>
      </c>
      <c r="F1841" s="58" t="s">
        <v>0</v>
      </c>
      <c r="G1841" s="35">
        <f>G1842</f>
        <v>7623.5</v>
      </c>
      <c r="H1841" s="35">
        <f t="shared" ref="H1841:K1842" si="839">H1842</f>
        <v>7623.5</v>
      </c>
      <c r="I1841" s="35">
        <f t="shared" si="839"/>
        <v>6199.75</v>
      </c>
      <c r="J1841" s="35">
        <f t="shared" si="839"/>
        <v>6199.75</v>
      </c>
      <c r="K1841" s="35">
        <f t="shared" si="839"/>
        <v>6021.25</v>
      </c>
      <c r="L1841" s="35">
        <f t="shared" si="831"/>
        <v>78.982750705056731</v>
      </c>
      <c r="M1841" s="35">
        <f t="shared" si="832"/>
        <v>97.120851647243839</v>
      </c>
    </row>
    <row r="1842" spans="1:13" ht="25.5">
      <c r="A1842" s="59" t="s">
        <v>64</v>
      </c>
      <c r="B1842" s="28" t="s">
        <v>741</v>
      </c>
      <c r="C1842" s="28" t="s">
        <v>19</v>
      </c>
      <c r="D1842" s="28" t="s">
        <v>17</v>
      </c>
      <c r="E1842" s="28" t="s">
        <v>753</v>
      </c>
      <c r="F1842" s="28" t="s">
        <v>65</v>
      </c>
      <c r="G1842" s="35">
        <f>G1843</f>
        <v>7623.5</v>
      </c>
      <c r="H1842" s="35">
        <f t="shared" si="839"/>
        <v>7623.5</v>
      </c>
      <c r="I1842" s="35">
        <f t="shared" si="839"/>
        <v>6199.75</v>
      </c>
      <c r="J1842" s="35">
        <f t="shared" si="839"/>
        <v>6199.75</v>
      </c>
      <c r="K1842" s="35">
        <f t="shared" si="839"/>
        <v>6021.25</v>
      </c>
      <c r="L1842" s="35">
        <f t="shared" si="831"/>
        <v>78.982750705056731</v>
      </c>
      <c r="M1842" s="35">
        <f t="shared" si="832"/>
        <v>97.120851647243839</v>
      </c>
    </row>
    <row r="1843" spans="1:13" ht="25.5">
      <c r="A1843" s="59" t="s">
        <v>66</v>
      </c>
      <c r="B1843" s="28" t="s">
        <v>741</v>
      </c>
      <c r="C1843" s="28" t="s">
        <v>19</v>
      </c>
      <c r="D1843" s="28" t="s">
        <v>17</v>
      </c>
      <c r="E1843" s="28" t="s">
        <v>753</v>
      </c>
      <c r="F1843" s="28" t="s">
        <v>67</v>
      </c>
      <c r="G1843" s="35">
        <v>7623.5</v>
      </c>
      <c r="H1843" s="35">
        <v>7623.5</v>
      </c>
      <c r="I1843" s="35">
        <v>6199.75</v>
      </c>
      <c r="J1843" s="35">
        <v>6199.75</v>
      </c>
      <c r="K1843" s="35">
        <v>6021.25</v>
      </c>
      <c r="L1843" s="35">
        <f t="shared" si="831"/>
        <v>78.982750705056731</v>
      </c>
      <c r="M1843" s="35">
        <f t="shared" si="832"/>
        <v>97.120851647243839</v>
      </c>
    </row>
    <row r="1844" spans="1:13" ht="25.5">
      <c r="A1844" s="59" t="s">
        <v>76</v>
      </c>
      <c r="B1844" s="28" t="s">
        <v>741</v>
      </c>
      <c r="C1844" s="28" t="s">
        <v>19</v>
      </c>
      <c r="D1844" s="28" t="s">
        <v>17</v>
      </c>
      <c r="E1844" s="28" t="s">
        <v>754</v>
      </c>
      <c r="F1844" s="58" t="s">
        <v>0</v>
      </c>
      <c r="G1844" s="35">
        <f>G1845+G1847+G1851</f>
        <v>260854.6</v>
      </c>
      <c r="H1844" s="35">
        <f>H1845+H1847+H1851+H1849</f>
        <v>260854.64021000004</v>
      </c>
      <c r="I1844" s="35">
        <f t="shared" ref="I1844:K1844" si="840">I1845+I1847+I1851+I1849</f>
        <v>194116.61299999998</v>
      </c>
      <c r="J1844" s="35">
        <f t="shared" si="840"/>
        <v>194116.61299999998</v>
      </c>
      <c r="K1844" s="35">
        <f t="shared" si="840"/>
        <v>175364.59837999998</v>
      </c>
      <c r="L1844" s="35">
        <f t="shared" si="831"/>
        <v>67.226942269005974</v>
      </c>
      <c r="M1844" s="35">
        <f t="shared" si="832"/>
        <v>90.339819796876426</v>
      </c>
    </row>
    <row r="1845" spans="1:13" ht="63.75">
      <c r="A1845" s="59" t="s">
        <v>60</v>
      </c>
      <c r="B1845" s="28" t="s">
        <v>741</v>
      </c>
      <c r="C1845" s="28" t="s">
        <v>19</v>
      </c>
      <c r="D1845" s="28" t="s">
        <v>17</v>
      </c>
      <c r="E1845" s="28" t="s">
        <v>754</v>
      </c>
      <c r="F1845" s="28" t="s">
        <v>61</v>
      </c>
      <c r="G1845" s="35">
        <f>G1846</f>
        <v>237514</v>
      </c>
      <c r="H1845" s="35">
        <f t="shared" ref="H1845:K1845" si="841">H1846</f>
        <v>237186.74800000002</v>
      </c>
      <c r="I1845" s="35">
        <f t="shared" si="841"/>
        <v>177285.86099999998</v>
      </c>
      <c r="J1845" s="35">
        <f t="shared" si="841"/>
        <v>177285.86099999998</v>
      </c>
      <c r="K1845" s="35">
        <f t="shared" si="841"/>
        <v>159567.1991</v>
      </c>
      <c r="L1845" s="35">
        <f t="shared" si="831"/>
        <v>67.274921742255174</v>
      </c>
      <c r="M1845" s="35">
        <f t="shared" si="832"/>
        <v>90.005597851934752</v>
      </c>
    </row>
    <row r="1846" spans="1:13">
      <c r="A1846" s="59" t="s">
        <v>78</v>
      </c>
      <c r="B1846" s="28" t="s">
        <v>741</v>
      </c>
      <c r="C1846" s="28" t="s">
        <v>19</v>
      </c>
      <c r="D1846" s="28" t="s">
        <v>17</v>
      </c>
      <c r="E1846" s="28" t="s">
        <v>754</v>
      </c>
      <c r="F1846" s="28" t="s">
        <v>79</v>
      </c>
      <c r="G1846" s="35">
        <v>237514</v>
      </c>
      <c r="H1846" s="35">
        <f>178957.352+4112.796+54116.6</f>
        <v>237186.74800000002</v>
      </c>
      <c r="I1846" s="35">
        <f>134148.365+2270.796+40866.7</f>
        <v>177285.86099999998</v>
      </c>
      <c r="J1846" s="35">
        <f>134148.365+2270.796+40866.7</f>
        <v>177285.86099999998</v>
      </c>
      <c r="K1846" s="35">
        <f>121753.64654+2259.0819+35554.47066</f>
        <v>159567.1991</v>
      </c>
      <c r="L1846" s="35">
        <f t="shared" si="831"/>
        <v>67.274921742255174</v>
      </c>
      <c r="M1846" s="35">
        <f t="shared" si="832"/>
        <v>90.005597851934752</v>
      </c>
    </row>
    <row r="1847" spans="1:13" ht="25.5">
      <c r="A1847" s="59" t="s">
        <v>64</v>
      </c>
      <c r="B1847" s="28" t="s">
        <v>741</v>
      </c>
      <c r="C1847" s="28" t="s">
        <v>19</v>
      </c>
      <c r="D1847" s="28" t="s">
        <v>17</v>
      </c>
      <c r="E1847" s="28" t="s">
        <v>754</v>
      </c>
      <c r="F1847" s="28" t="s">
        <v>65</v>
      </c>
      <c r="G1847" s="35">
        <f>G1848</f>
        <v>22167.599999999999</v>
      </c>
      <c r="H1847" s="35">
        <f t="shared" ref="H1847:K1847" si="842">H1848</f>
        <v>22167.640210000001</v>
      </c>
      <c r="I1847" s="35">
        <f t="shared" si="842"/>
        <v>15725.2</v>
      </c>
      <c r="J1847" s="35">
        <f t="shared" si="842"/>
        <v>15725.2</v>
      </c>
      <c r="K1847" s="35">
        <f t="shared" si="842"/>
        <v>14839.903780000001</v>
      </c>
      <c r="L1847" s="35">
        <f t="shared" si="831"/>
        <v>66.943994215972523</v>
      </c>
      <c r="M1847" s="35">
        <f t="shared" si="832"/>
        <v>94.370206929005676</v>
      </c>
    </row>
    <row r="1848" spans="1:13" ht="25.5">
      <c r="A1848" s="59" t="s">
        <v>66</v>
      </c>
      <c r="B1848" s="28" t="s">
        <v>741</v>
      </c>
      <c r="C1848" s="28" t="s">
        <v>19</v>
      </c>
      <c r="D1848" s="28" t="s">
        <v>17</v>
      </c>
      <c r="E1848" s="28" t="s">
        <v>754</v>
      </c>
      <c r="F1848" s="28" t="s">
        <v>67</v>
      </c>
      <c r="G1848" s="35">
        <v>22167.599999999999</v>
      </c>
      <c r="H1848" s="35">
        <v>22167.640210000001</v>
      </c>
      <c r="I1848" s="35">
        <v>15725.2</v>
      </c>
      <c r="J1848" s="35">
        <v>15725.2</v>
      </c>
      <c r="K1848" s="35">
        <v>14839.903780000001</v>
      </c>
      <c r="L1848" s="35">
        <f t="shared" si="831"/>
        <v>66.943994215972523</v>
      </c>
      <c r="M1848" s="35">
        <f t="shared" si="832"/>
        <v>94.370206929005676</v>
      </c>
    </row>
    <row r="1849" spans="1:13">
      <c r="A1849" s="59" t="s">
        <v>68</v>
      </c>
      <c r="B1849" s="28" t="s">
        <v>741</v>
      </c>
      <c r="C1849" s="28" t="s">
        <v>19</v>
      </c>
      <c r="D1849" s="28" t="s">
        <v>17</v>
      </c>
      <c r="E1849" s="28" t="s">
        <v>754</v>
      </c>
      <c r="F1849" s="28">
        <v>300</v>
      </c>
      <c r="G1849" s="35"/>
      <c r="H1849" s="35">
        <f>H1850</f>
        <v>327.25200000000001</v>
      </c>
      <c r="I1849" s="35">
        <f t="shared" ref="I1849:K1849" si="843">I1850</f>
        <v>327.25200000000001</v>
      </c>
      <c r="J1849" s="35">
        <f t="shared" si="843"/>
        <v>327.25200000000001</v>
      </c>
      <c r="K1849" s="35">
        <f t="shared" si="843"/>
        <v>327.22946000000002</v>
      </c>
      <c r="L1849" s="35">
        <f t="shared" si="831"/>
        <v>99.99311234155941</v>
      </c>
      <c r="M1849" s="35">
        <f t="shared" si="832"/>
        <v>99.99311234155941</v>
      </c>
    </row>
    <row r="1850" spans="1:13" ht="25.5">
      <c r="A1850" s="59" t="s">
        <v>151</v>
      </c>
      <c r="B1850" s="28" t="s">
        <v>741</v>
      </c>
      <c r="C1850" s="28" t="s">
        <v>19</v>
      </c>
      <c r="D1850" s="28" t="s">
        <v>17</v>
      </c>
      <c r="E1850" s="28" t="s">
        <v>754</v>
      </c>
      <c r="F1850" s="28">
        <v>320</v>
      </c>
      <c r="G1850" s="35"/>
      <c r="H1850" s="35">
        <v>327.25200000000001</v>
      </c>
      <c r="I1850" s="35">
        <v>327.25200000000001</v>
      </c>
      <c r="J1850" s="35">
        <v>327.25200000000001</v>
      </c>
      <c r="K1850" s="35">
        <v>327.22946000000002</v>
      </c>
      <c r="L1850" s="35">
        <f t="shared" si="831"/>
        <v>99.99311234155941</v>
      </c>
      <c r="M1850" s="35">
        <f t="shared" si="832"/>
        <v>99.99311234155941</v>
      </c>
    </row>
    <row r="1851" spans="1:13">
      <c r="A1851" s="59" t="s">
        <v>72</v>
      </c>
      <c r="B1851" s="28" t="s">
        <v>741</v>
      </c>
      <c r="C1851" s="28" t="s">
        <v>19</v>
      </c>
      <c r="D1851" s="28" t="s">
        <v>17</v>
      </c>
      <c r="E1851" s="28" t="s">
        <v>754</v>
      </c>
      <c r="F1851" s="28" t="s">
        <v>73</v>
      </c>
      <c r="G1851" s="35">
        <f>G1852+G1853</f>
        <v>1173</v>
      </c>
      <c r="H1851" s="35">
        <f t="shared" ref="H1851:K1851" si="844">H1852+H1853</f>
        <v>1173</v>
      </c>
      <c r="I1851" s="35">
        <f t="shared" si="844"/>
        <v>778.3</v>
      </c>
      <c r="J1851" s="35">
        <f t="shared" si="844"/>
        <v>778.3</v>
      </c>
      <c r="K1851" s="35">
        <f t="shared" si="844"/>
        <v>630.26603999999998</v>
      </c>
      <c r="L1851" s="35">
        <f t="shared" si="831"/>
        <v>53.731120204603577</v>
      </c>
      <c r="M1851" s="35">
        <f t="shared" si="832"/>
        <v>80.979832969292048</v>
      </c>
    </row>
    <row r="1852" spans="1:13">
      <c r="A1852" s="59" t="s">
        <v>84</v>
      </c>
      <c r="B1852" s="28" t="s">
        <v>741</v>
      </c>
      <c r="C1852" s="28" t="s">
        <v>19</v>
      </c>
      <c r="D1852" s="28" t="s">
        <v>17</v>
      </c>
      <c r="E1852" s="28" t="s">
        <v>754</v>
      </c>
      <c r="F1852" s="28" t="s">
        <v>85</v>
      </c>
      <c r="G1852" s="35">
        <v>0.3</v>
      </c>
      <c r="H1852" s="35">
        <v>0.3</v>
      </c>
      <c r="I1852" s="35">
        <v>0</v>
      </c>
      <c r="J1852" s="35">
        <v>0</v>
      </c>
      <c r="K1852" s="35">
        <v>0</v>
      </c>
      <c r="L1852" s="35">
        <f t="shared" si="831"/>
        <v>0</v>
      </c>
      <c r="M1852" s="35">
        <v>0</v>
      </c>
    </row>
    <row r="1853" spans="1:13">
      <c r="A1853" s="59" t="s">
        <v>74</v>
      </c>
      <c r="B1853" s="28" t="s">
        <v>741</v>
      </c>
      <c r="C1853" s="28" t="s">
        <v>19</v>
      </c>
      <c r="D1853" s="28" t="s">
        <v>17</v>
      </c>
      <c r="E1853" s="28" t="s">
        <v>754</v>
      </c>
      <c r="F1853" s="28" t="s">
        <v>75</v>
      </c>
      <c r="G1853" s="35">
        <v>1172.7</v>
      </c>
      <c r="H1853" s="35">
        <f>870.4+301.3+1</f>
        <v>1172.7</v>
      </c>
      <c r="I1853" s="35">
        <f>601+176.3+1</f>
        <v>778.3</v>
      </c>
      <c r="J1853" s="35">
        <f>601+176.3+1</f>
        <v>778.3</v>
      </c>
      <c r="K1853" s="35">
        <f>484.10915+145.84996+0.30693</f>
        <v>630.26603999999998</v>
      </c>
      <c r="L1853" s="35">
        <f t="shared" si="831"/>
        <v>53.744865694551038</v>
      </c>
      <c r="M1853" s="35">
        <f t="shared" si="832"/>
        <v>80.979832969292048</v>
      </c>
    </row>
    <row r="1854" spans="1:13" ht="25.5">
      <c r="A1854" s="59" t="s">
        <v>755</v>
      </c>
      <c r="B1854" s="28" t="s">
        <v>741</v>
      </c>
      <c r="C1854" s="28" t="s">
        <v>19</v>
      </c>
      <c r="D1854" s="28" t="s">
        <v>17</v>
      </c>
      <c r="E1854" s="28" t="s">
        <v>756</v>
      </c>
      <c r="F1854" s="58" t="s">
        <v>0</v>
      </c>
      <c r="G1854" s="35">
        <f>G1855+G1857+G1860</f>
        <v>65913.5</v>
      </c>
      <c r="H1854" s="35">
        <f t="shared" ref="H1854:K1854" si="845">H1855+H1857+H1860</f>
        <v>65913.493999999992</v>
      </c>
      <c r="I1854" s="35">
        <f t="shared" si="845"/>
        <v>49090.686000000002</v>
      </c>
      <c r="J1854" s="35">
        <f t="shared" si="845"/>
        <v>49090.686000000002</v>
      </c>
      <c r="K1854" s="35">
        <f t="shared" si="845"/>
        <v>47566.828739999997</v>
      </c>
      <c r="L1854" s="35">
        <f t="shared" si="831"/>
        <v>72.165539790683837</v>
      </c>
      <c r="M1854" s="35">
        <f t="shared" si="832"/>
        <v>96.895832215504171</v>
      </c>
    </row>
    <row r="1855" spans="1:13" ht="25.5">
      <c r="A1855" s="59" t="s">
        <v>64</v>
      </c>
      <c r="B1855" s="28" t="s">
        <v>741</v>
      </c>
      <c r="C1855" s="28" t="s">
        <v>19</v>
      </c>
      <c r="D1855" s="28" t="s">
        <v>17</v>
      </c>
      <c r="E1855" s="28" t="s">
        <v>756</v>
      </c>
      <c r="F1855" s="28" t="s">
        <v>65</v>
      </c>
      <c r="G1855" s="35">
        <f>G1856</f>
        <v>33794.800000000003</v>
      </c>
      <c r="H1855" s="35">
        <f t="shared" ref="H1855:K1855" si="846">H1856</f>
        <v>33794.754000000001</v>
      </c>
      <c r="I1855" s="35">
        <f t="shared" si="846"/>
        <v>22606.404999999999</v>
      </c>
      <c r="J1855" s="35">
        <f t="shared" si="846"/>
        <v>22606.404999999999</v>
      </c>
      <c r="K1855" s="35">
        <f t="shared" si="846"/>
        <v>22264.642899999999</v>
      </c>
      <c r="L1855" s="35">
        <f t="shared" si="831"/>
        <v>65.881949902638723</v>
      </c>
      <c r="M1855" s="35">
        <f t="shared" si="832"/>
        <v>98.488206771487995</v>
      </c>
    </row>
    <row r="1856" spans="1:13" ht="25.5">
      <c r="A1856" s="59" t="s">
        <v>66</v>
      </c>
      <c r="B1856" s="28" t="s">
        <v>741</v>
      </c>
      <c r="C1856" s="28" t="s">
        <v>19</v>
      </c>
      <c r="D1856" s="28" t="s">
        <v>17</v>
      </c>
      <c r="E1856" s="28" t="s">
        <v>756</v>
      </c>
      <c r="F1856" s="28" t="s">
        <v>67</v>
      </c>
      <c r="G1856" s="35">
        <v>33794.800000000003</v>
      </c>
      <c r="H1856" s="35">
        <v>33794.754000000001</v>
      </c>
      <c r="I1856" s="35">
        <v>22606.404999999999</v>
      </c>
      <c r="J1856" s="35">
        <v>22606.404999999999</v>
      </c>
      <c r="K1856" s="35">
        <v>22264.642899999999</v>
      </c>
      <c r="L1856" s="35">
        <f t="shared" si="831"/>
        <v>65.881949902638723</v>
      </c>
      <c r="M1856" s="35">
        <f t="shared" si="832"/>
        <v>98.488206771487995</v>
      </c>
    </row>
    <row r="1857" spans="1:13">
      <c r="A1857" s="59" t="s">
        <v>68</v>
      </c>
      <c r="B1857" s="28" t="s">
        <v>741</v>
      </c>
      <c r="C1857" s="28" t="s">
        <v>19</v>
      </c>
      <c r="D1857" s="28" t="s">
        <v>17</v>
      </c>
      <c r="E1857" s="28" t="s">
        <v>756</v>
      </c>
      <c r="F1857" s="28" t="s">
        <v>69</v>
      </c>
      <c r="G1857" s="35">
        <f>G1858+G1859</f>
        <v>31492.799999999999</v>
      </c>
      <c r="H1857" s="35">
        <f t="shared" ref="H1857:K1857" si="847">H1858+H1859</f>
        <v>31492.84</v>
      </c>
      <c r="I1857" s="35">
        <f t="shared" si="847"/>
        <v>26011.061000000002</v>
      </c>
      <c r="J1857" s="35">
        <f t="shared" si="847"/>
        <v>26011.061000000002</v>
      </c>
      <c r="K1857" s="35">
        <f t="shared" si="847"/>
        <v>24879.437839999999</v>
      </c>
      <c r="L1857" s="35">
        <f t="shared" si="831"/>
        <v>79.000299242621494</v>
      </c>
      <c r="M1857" s="35">
        <f t="shared" si="832"/>
        <v>95.649454053412114</v>
      </c>
    </row>
    <row r="1858" spans="1:13" ht="25.5">
      <c r="A1858" s="59" t="s">
        <v>151</v>
      </c>
      <c r="B1858" s="28" t="s">
        <v>741</v>
      </c>
      <c r="C1858" s="28" t="s">
        <v>19</v>
      </c>
      <c r="D1858" s="28" t="s">
        <v>17</v>
      </c>
      <c r="E1858" s="28" t="s">
        <v>756</v>
      </c>
      <c r="F1858" s="28" t="s">
        <v>152</v>
      </c>
      <c r="G1858" s="35">
        <v>15355.8</v>
      </c>
      <c r="H1858" s="35">
        <f>10262.16+5093.68</f>
        <v>15355.84</v>
      </c>
      <c r="I1858" s="35">
        <f>9128.711+3323.57</f>
        <v>12452.280999999999</v>
      </c>
      <c r="J1858" s="35">
        <f>9128.711+3323.57</f>
        <v>12452.280999999999</v>
      </c>
      <c r="K1858" s="35">
        <f>8879.63316+3277.628</f>
        <v>12157.26116</v>
      </c>
      <c r="L1858" s="35">
        <f t="shared" si="831"/>
        <v>79.170277627274061</v>
      </c>
      <c r="M1858" s="35">
        <f t="shared" si="832"/>
        <v>97.630796799397643</v>
      </c>
    </row>
    <row r="1859" spans="1:13">
      <c r="A1859" s="59" t="s">
        <v>70</v>
      </c>
      <c r="B1859" s="28" t="s">
        <v>741</v>
      </c>
      <c r="C1859" s="28" t="s">
        <v>19</v>
      </c>
      <c r="D1859" s="28" t="s">
        <v>17</v>
      </c>
      <c r="E1859" s="28" t="s">
        <v>756</v>
      </c>
      <c r="F1859" s="28" t="s">
        <v>71</v>
      </c>
      <c r="G1859" s="35">
        <v>16137</v>
      </c>
      <c r="H1859" s="35">
        <v>16137</v>
      </c>
      <c r="I1859" s="35">
        <v>13558.78</v>
      </c>
      <c r="J1859" s="35">
        <v>13558.78</v>
      </c>
      <c r="K1859" s="35">
        <v>12722.17668</v>
      </c>
      <c r="L1859" s="35">
        <f t="shared" si="831"/>
        <v>78.838549172708682</v>
      </c>
      <c r="M1859" s="35">
        <f t="shared" si="832"/>
        <v>93.82980386140936</v>
      </c>
    </row>
    <row r="1860" spans="1:13">
      <c r="A1860" s="59" t="s">
        <v>72</v>
      </c>
      <c r="B1860" s="28" t="s">
        <v>741</v>
      </c>
      <c r="C1860" s="28" t="s">
        <v>19</v>
      </c>
      <c r="D1860" s="28" t="s">
        <v>17</v>
      </c>
      <c r="E1860" s="28" t="s">
        <v>756</v>
      </c>
      <c r="F1860" s="28" t="s">
        <v>73</v>
      </c>
      <c r="G1860" s="35">
        <f>G1861</f>
        <v>625.9</v>
      </c>
      <c r="H1860" s="35">
        <f t="shared" ref="H1860:K1860" si="848">H1861</f>
        <v>625.9</v>
      </c>
      <c r="I1860" s="35">
        <f t="shared" si="848"/>
        <v>473.22</v>
      </c>
      <c r="J1860" s="35">
        <f t="shared" si="848"/>
        <v>473.22</v>
      </c>
      <c r="K1860" s="35">
        <f t="shared" si="848"/>
        <v>422.74799999999999</v>
      </c>
      <c r="L1860" s="35">
        <f t="shared" si="831"/>
        <v>67.542418916759871</v>
      </c>
      <c r="M1860" s="35">
        <f t="shared" si="832"/>
        <v>89.334347660707493</v>
      </c>
    </row>
    <row r="1861" spans="1:13" ht="51">
      <c r="A1861" s="59" t="s">
        <v>218</v>
      </c>
      <c r="B1861" s="28" t="s">
        <v>741</v>
      </c>
      <c r="C1861" s="28" t="s">
        <v>19</v>
      </c>
      <c r="D1861" s="28" t="s">
        <v>17</v>
      </c>
      <c r="E1861" s="28" t="s">
        <v>756</v>
      </c>
      <c r="F1861" s="28" t="s">
        <v>219</v>
      </c>
      <c r="G1861" s="35">
        <v>625.9</v>
      </c>
      <c r="H1861" s="35">
        <v>625.9</v>
      </c>
      <c r="I1861" s="35">
        <v>473.22</v>
      </c>
      <c r="J1861" s="35">
        <v>473.22</v>
      </c>
      <c r="K1861" s="35">
        <v>422.74799999999999</v>
      </c>
      <c r="L1861" s="35">
        <f t="shared" si="831"/>
        <v>67.542418916759871</v>
      </c>
      <c r="M1861" s="35">
        <f t="shared" si="832"/>
        <v>89.334347660707493</v>
      </c>
    </row>
    <row r="1862" spans="1:13" ht="25.5">
      <c r="A1862" s="59" t="s">
        <v>757</v>
      </c>
      <c r="B1862" s="28" t="s">
        <v>741</v>
      </c>
      <c r="C1862" s="28" t="s">
        <v>19</v>
      </c>
      <c r="D1862" s="28" t="s">
        <v>17</v>
      </c>
      <c r="E1862" s="28" t="s">
        <v>758</v>
      </c>
      <c r="F1862" s="58" t="s">
        <v>0</v>
      </c>
      <c r="G1862" s="35">
        <f>G1866</f>
        <v>6451.5</v>
      </c>
      <c r="H1862" s="35">
        <f>H1866+H1863</f>
        <v>22500</v>
      </c>
      <c r="I1862" s="35">
        <f t="shared" ref="I1862:K1862" si="849">I1866+I1863</f>
        <v>2680</v>
      </c>
      <c r="J1862" s="35">
        <f t="shared" si="849"/>
        <v>1490</v>
      </c>
      <c r="K1862" s="35">
        <f t="shared" si="849"/>
        <v>1450.7689599999999</v>
      </c>
      <c r="L1862" s="35">
        <f t="shared" si="831"/>
        <v>6.4478620444444443</v>
      </c>
      <c r="M1862" s="35">
        <f t="shared" si="832"/>
        <v>54.133170149253729</v>
      </c>
    </row>
    <row r="1863" spans="1:13" ht="33" customHeight="1">
      <c r="A1863" s="59" t="s">
        <v>1180</v>
      </c>
      <c r="B1863" s="28" t="s">
        <v>741</v>
      </c>
      <c r="C1863" s="28" t="s">
        <v>19</v>
      </c>
      <c r="D1863" s="28" t="s">
        <v>17</v>
      </c>
      <c r="E1863" s="29" t="s">
        <v>1179</v>
      </c>
      <c r="F1863" s="58"/>
      <c r="G1863" s="35"/>
      <c r="H1863" s="35">
        <f>H1864</f>
        <v>16048.5</v>
      </c>
      <c r="I1863" s="35">
        <f t="shared" ref="I1863:K1864" si="850">I1864</f>
        <v>1060</v>
      </c>
      <c r="J1863" s="35">
        <f t="shared" si="850"/>
        <v>1060</v>
      </c>
      <c r="K1863" s="35">
        <f t="shared" si="850"/>
        <v>1034.3982699999999</v>
      </c>
      <c r="L1863" s="35">
        <f t="shared" si="831"/>
        <v>6.4454514129046316</v>
      </c>
      <c r="M1863" s="35">
        <f t="shared" si="832"/>
        <v>97.58474245283017</v>
      </c>
    </row>
    <row r="1864" spans="1:13">
      <c r="A1864" s="59" t="s">
        <v>72</v>
      </c>
      <c r="B1864" s="28" t="s">
        <v>741</v>
      </c>
      <c r="C1864" s="28" t="s">
        <v>19</v>
      </c>
      <c r="D1864" s="28" t="s">
        <v>17</v>
      </c>
      <c r="E1864" s="29" t="s">
        <v>1179</v>
      </c>
      <c r="F1864" s="28" t="s">
        <v>73</v>
      </c>
      <c r="G1864" s="35"/>
      <c r="H1864" s="35">
        <f>H1865</f>
        <v>16048.5</v>
      </c>
      <c r="I1864" s="35">
        <f t="shared" si="850"/>
        <v>1060</v>
      </c>
      <c r="J1864" s="35">
        <f t="shared" si="850"/>
        <v>1060</v>
      </c>
      <c r="K1864" s="35">
        <f t="shared" si="850"/>
        <v>1034.3982699999999</v>
      </c>
      <c r="L1864" s="35">
        <f t="shared" si="831"/>
        <v>6.4454514129046316</v>
      </c>
      <c r="M1864" s="35">
        <f t="shared" si="832"/>
        <v>97.58474245283017</v>
      </c>
    </row>
    <row r="1865" spans="1:13" ht="51">
      <c r="A1865" s="59" t="s">
        <v>218</v>
      </c>
      <c r="B1865" s="28" t="s">
        <v>741</v>
      </c>
      <c r="C1865" s="28" t="s">
        <v>19</v>
      </c>
      <c r="D1865" s="28" t="s">
        <v>17</v>
      </c>
      <c r="E1865" s="29" t="s">
        <v>1179</v>
      </c>
      <c r="F1865" s="28" t="s">
        <v>219</v>
      </c>
      <c r="G1865" s="35"/>
      <c r="H1865" s="35">
        <v>16048.5</v>
      </c>
      <c r="I1865" s="35">
        <v>1060</v>
      </c>
      <c r="J1865" s="35">
        <v>1060</v>
      </c>
      <c r="K1865" s="35">
        <v>1034.3982699999999</v>
      </c>
      <c r="L1865" s="35">
        <f t="shared" si="831"/>
        <v>6.4454514129046316</v>
      </c>
      <c r="M1865" s="35">
        <f t="shared" si="832"/>
        <v>97.58474245283017</v>
      </c>
    </row>
    <row r="1866" spans="1:13" ht="38.25">
      <c r="A1866" s="59" t="s">
        <v>759</v>
      </c>
      <c r="B1866" s="28" t="s">
        <v>741</v>
      </c>
      <c r="C1866" s="28" t="s">
        <v>19</v>
      </c>
      <c r="D1866" s="28" t="s">
        <v>17</v>
      </c>
      <c r="E1866" s="28" t="s">
        <v>760</v>
      </c>
      <c r="F1866" s="58" t="s">
        <v>0</v>
      </c>
      <c r="G1866" s="35">
        <f>G1867</f>
        <v>6451.5</v>
      </c>
      <c r="H1866" s="35">
        <f t="shared" ref="H1866:K1867" si="851">H1867</f>
        <v>6451.5</v>
      </c>
      <c r="I1866" s="35">
        <f t="shared" si="851"/>
        <v>1620</v>
      </c>
      <c r="J1866" s="35">
        <f t="shared" si="851"/>
        <v>430</v>
      </c>
      <c r="K1866" s="35">
        <f t="shared" si="851"/>
        <v>416.37069000000002</v>
      </c>
      <c r="L1866" s="35">
        <f t="shared" si="831"/>
        <v>6.4538586375261566</v>
      </c>
      <c r="M1866" s="35">
        <f t="shared" si="832"/>
        <v>25.701894444444445</v>
      </c>
    </row>
    <row r="1867" spans="1:13">
      <c r="A1867" s="59" t="s">
        <v>72</v>
      </c>
      <c r="B1867" s="28" t="s">
        <v>741</v>
      </c>
      <c r="C1867" s="28" t="s">
        <v>19</v>
      </c>
      <c r="D1867" s="28" t="s">
        <v>17</v>
      </c>
      <c r="E1867" s="28" t="s">
        <v>760</v>
      </c>
      <c r="F1867" s="28" t="s">
        <v>73</v>
      </c>
      <c r="G1867" s="35">
        <f>G1868</f>
        <v>6451.5</v>
      </c>
      <c r="H1867" s="35">
        <f t="shared" si="851"/>
        <v>6451.5</v>
      </c>
      <c r="I1867" s="35">
        <f t="shared" si="851"/>
        <v>1620</v>
      </c>
      <c r="J1867" s="35">
        <f t="shared" si="851"/>
        <v>430</v>
      </c>
      <c r="K1867" s="35">
        <f t="shared" si="851"/>
        <v>416.37069000000002</v>
      </c>
      <c r="L1867" s="35">
        <f t="shared" si="831"/>
        <v>6.4538586375261566</v>
      </c>
      <c r="M1867" s="35">
        <f t="shared" si="832"/>
        <v>25.701894444444445</v>
      </c>
    </row>
    <row r="1868" spans="1:13" ht="51">
      <c r="A1868" s="59" t="s">
        <v>218</v>
      </c>
      <c r="B1868" s="28" t="s">
        <v>741</v>
      </c>
      <c r="C1868" s="28" t="s">
        <v>19</v>
      </c>
      <c r="D1868" s="28" t="s">
        <v>17</v>
      </c>
      <c r="E1868" s="28" t="s">
        <v>760</v>
      </c>
      <c r="F1868" s="28" t="s">
        <v>219</v>
      </c>
      <c r="G1868" s="35">
        <v>6451.5</v>
      </c>
      <c r="H1868" s="35">
        <v>6451.5</v>
      </c>
      <c r="I1868" s="35">
        <v>1620</v>
      </c>
      <c r="J1868" s="35">
        <v>430</v>
      </c>
      <c r="K1868" s="35">
        <v>416.37069000000002</v>
      </c>
      <c r="L1868" s="35">
        <f t="shared" si="831"/>
        <v>6.4538586375261566</v>
      </c>
      <c r="M1868" s="35">
        <f t="shared" si="832"/>
        <v>25.701894444444445</v>
      </c>
    </row>
    <row r="1869" spans="1:13">
      <c r="A1869" s="60" t="s">
        <v>0</v>
      </c>
      <c r="B1869" s="58" t="s">
        <v>0</v>
      </c>
      <c r="C1869" s="58" t="s">
        <v>0</v>
      </c>
      <c r="D1869" s="58" t="s">
        <v>0</v>
      </c>
      <c r="E1869" s="58" t="s">
        <v>0</v>
      </c>
      <c r="F1869" s="58" t="s">
        <v>0</v>
      </c>
      <c r="G1869" s="61" t="s">
        <v>0</v>
      </c>
      <c r="H1869" s="61" t="s">
        <v>0</v>
      </c>
      <c r="I1869" s="61" t="s">
        <v>0</v>
      </c>
      <c r="J1869" s="61" t="s">
        <v>0</v>
      </c>
      <c r="K1869" s="61" t="s">
        <v>0</v>
      </c>
      <c r="L1869" s="35"/>
      <c r="M1869" s="35"/>
    </row>
    <row r="1870" spans="1:13">
      <c r="A1870" s="59" t="s">
        <v>109</v>
      </c>
      <c r="B1870" s="28" t="s">
        <v>741</v>
      </c>
      <c r="C1870" s="28" t="s">
        <v>110</v>
      </c>
      <c r="D1870" s="58" t="s">
        <v>0</v>
      </c>
      <c r="E1870" s="58" t="s">
        <v>0</v>
      </c>
      <c r="F1870" s="58" t="s">
        <v>0</v>
      </c>
      <c r="G1870" s="35">
        <f>G1871</f>
        <v>301255.7</v>
      </c>
      <c r="H1870" s="35">
        <f t="shared" ref="H1870:K1872" si="852">H1871</f>
        <v>366506.7</v>
      </c>
      <c r="I1870" s="35">
        <f t="shared" si="852"/>
        <v>359738.0809</v>
      </c>
      <c r="J1870" s="35">
        <f t="shared" si="852"/>
        <v>359738.0809</v>
      </c>
      <c r="K1870" s="35">
        <f t="shared" si="852"/>
        <v>333636.76289000001</v>
      </c>
      <c r="L1870" s="35">
        <f t="shared" si="831"/>
        <v>91.031559011063095</v>
      </c>
      <c r="M1870" s="35">
        <f t="shared" si="832"/>
        <v>92.744355019435474</v>
      </c>
    </row>
    <row r="1871" spans="1:13">
      <c r="A1871" s="59" t="s">
        <v>415</v>
      </c>
      <c r="B1871" s="28" t="s">
        <v>741</v>
      </c>
      <c r="C1871" s="28" t="s">
        <v>110</v>
      </c>
      <c r="D1871" s="28" t="s">
        <v>110</v>
      </c>
      <c r="E1871" s="58" t="s">
        <v>0</v>
      </c>
      <c r="F1871" s="58" t="s">
        <v>0</v>
      </c>
      <c r="G1871" s="35">
        <f>G1872</f>
        <v>301255.7</v>
      </c>
      <c r="H1871" s="35">
        <f t="shared" si="852"/>
        <v>366506.7</v>
      </c>
      <c r="I1871" s="35">
        <f t="shared" si="852"/>
        <v>359738.0809</v>
      </c>
      <c r="J1871" s="35">
        <f t="shared" si="852"/>
        <v>359738.0809</v>
      </c>
      <c r="K1871" s="35">
        <f t="shared" si="852"/>
        <v>333636.76289000001</v>
      </c>
      <c r="L1871" s="35">
        <f t="shared" si="831"/>
        <v>91.031559011063095</v>
      </c>
      <c r="M1871" s="35">
        <f t="shared" si="832"/>
        <v>92.744355019435474</v>
      </c>
    </row>
    <row r="1872" spans="1:13" ht="38.25">
      <c r="A1872" s="59" t="s">
        <v>299</v>
      </c>
      <c r="B1872" s="28" t="s">
        <v>741</v>
      </c>
      <c r="C1872" s="28" t="s">
        <v>110</v>
      </c>
      <c r="D1872" s="28" t="s">
        <v>110</v>
      </c>
      <c r="E1872" s="28" t="s">
        <v>300</v>
      </c>
      <c r="F1872" s="58" t="s">
        <v>0</v>
      </c>
      <c r="G1872" s="35">
        <f>G1873</f>
        <v>301255.7</v>
      </c>
      <c r="H1872" s="35">
        <f t="shared" si="852"/>
        <v>366506.7</v>
      </c>
      <c r="I1872" s="35">
        <f t="shared" si="852"/>
        <v>359738.0809</v>
      </c>
      <c r="J1872" s="35">
        <f t="shared" si="852"/>
        <v>359738.0809</v>
      </c>
      <c r="K1872" s="35">
        <f t="shared" si="852"/>
        <v>333636.76289000001</v>
      </c>
      <c r="L1872" s="35">
        <f t="shared" si="831"/>
        <v>91.031559011063095</v>
      </c>
      <c r="M1872" s="35">
        <f t="shared" si="832"/>
        <v>92.744355019435474</v>
      </c>
    </row>
    <row r="1873" spans="1:13" ht="25.5">
      <c r="A1873" s="59" t="s">
        <v>416</v>
      </c>
      <c r="B1873" s="28" t="s">
        <v>741</v>
      </c>
      <c r="C1873" s="28" t="s">
        <v>110</v>
      </c>
      <c r="D1873" s="28" t="s">
        <v>110</v>
      </c>
      <c r="E1873" s="28" t="s">
        <v>417</v>
      </c>
      <c r="F1873" s="58" t="s">
        <v>0</v>
      </c>
      <c r="G1873" s="35">
        <f>G1879+G1883+G1886</f>
        <v>301255.7</v>
      </c>
      <c r="H1873" s="35">
        <f>H1879+H1883+H1886+H1874</f>
        <v>366506.7</v>
      </c>
      <c r="I1873" s="35">
        <f t="shared" ref="I1873:K1873" si="853">I1879+I1883+I1886+I1874</f>
        <v>359738.0809</v>
      </c>
      <c r="J1873" s="35">
        <f t="shared" si="853"/>
        <v>359738.0809</v>
      </c>
      <c r="K1873" s="35">
        <f t="shared" si="853"/>
        <v>333636.76289000001</v>
      </c>
      <c r="L1873" s="35">
        <f t="shared" si="831"/>
        <v>91.031559011063095</v>
      </c>
      <c r="M1873" s="35">
        <f t="shared" si="832"/>
        <v>92.744355019435474</v>
      </c>
    </row>
    <row r="1874" spans="1:13" ht="30" customHeight="1">
      <c r="A1874" s="59" t="s">
        <v>1182</v>
      </c>
      <c r="B1874" s="28" t="s">
        <v>741</v>
      </c>
      <c r="C1874" s="28" t="s">
        <v>110</v>
      </c>
      <c r="D1874" s="28" t="s">
        <v>110</v>
      </c>
      <c r="E1874" s="29" t="s">
        <v>1181</v>
      </c>
      <c r="F1874" s="58"/>
      <c r="G1874" s="35"/>
      <c r="H1874" s="35">
        <f>H1875+H1877</f>
        <v>65251</v>
      </c>
      <c r="I1874" s="35">
        <f t="shared" ref="I1874:K1874" si="854">I1875+I1877</f>
        <v>63784.780899999998</v>
      </c>
      <c r="J1874" s="35">
        <f t="shared" si="854"/>
        <v>63784.780899999998</v>
      </c>
      <c r="K1874" s="35">
        <f t="shared" si="854"/>
        <v>63780.781000000003</v>
      </c>
      <c r="L1874" s="35">
        <f t="shared" si="831"/>
        <v>97.746825336010176</v>
      </c>
      <c r="M1874" s="35">
        <f t="shared" si="832"/>
        <v>99.993729068370925</v>
      </c>
    </row>
    <row r="1875" spans="1:13">
      <c r="A1875" s="59" t="s">
        <v>68</v>
      </c>
      <c r="B1875" s="28" t="s">
        <v>741</v>
      </c>
      <c r="C1875" s="28" t="s">
        <v>110</v>
      </c>
      <c r="D1875" s="28" t="s">
        <v>110</v>
      </c>
      <c r="E1875" s="29" t="s">
        <v>1181</v>
      </c>
      <c r="F1875" s="28">
        <v>300</v>
      </c>
      <c r="G1875" s="35"/>
      <c r="H1875" s="35">
        <f>H1876</f>
        <v>55182.59</v>
      </c>
      <c r="I1875" s="35">
        <f t="shared" ref="I1875:K1875" si="855">I1876</f>
        <v>53716.370900000002</v>
      </c>
      <c r="J1875" s="35">
        <f t="shared" si="855"/>
        <v>53716.370900000002</v>
      </c>
      <c r="K1875" s="35">
        <f t="shared" si="855"/>
        <v>53712.370999999999</v>
      </c>
      <c r="L1875" s="35">
        <f t="shared" si="831"/>
        <v>97.335719472391574</v>
      </c>
      <c r="M1875" s="35">
        <f t="shared" si="832"/>
        <v>99.99255366672584</v>
      </c>
    </row>
    <row r="1876" spans="1:13" ht="25.5">
      <c r="A1876" s="59" t="s">
        <v>151</v>
      </c>
      <c r="B1876" s="28" t="s">
        <v>741</v>
      </c>
      <c r="C1876" s="28" t="s">
        <v>110</v>
      </c>
      <c r="D1876" s="28" t="s">
        <v>110</v>
      </c>
      <c r="E1876" s="29" t="s">
        <v>1181</v>
      </c>
      <c r="F1876" s="28">
        <v>320</v>
      </c>
      <c r="G1876" s="35"/>
      <c r="H1876" s="35">
        <v>55182.59</v>
      </c>
      <c r="I1876" s="35">
        <v>53716.370900000002</v>
      </c>
      <c r="J1876" s="35">
        <v>53716.370900000002</v>
      </c>
      <c r="K1876" s="35">
        <v>53712.370999999999</v>
      </c>
      <c r="L1876" s="35">
        <f t="shared" si="831"/>
        <v>97.335719472391574</v>
      </c>
      <c r="M1876" s="35">
        <f t="shared" si="832"/>
        <v>99.99255366672584</v>
      </c>
    </row>
    <row r="1877" spans="1:13" ht="25.5">
      <c r="A1877" s="59" t="s">
        <v>80</v>
      </c>
      <c r="B1877" s="28" t="s">
        <v>741</v>
      </c>
      <c r="C1877" s="28" t="s">
        <v>110</v>
      </c>
      <c r="D1877" s="28" t="s">
        <v>110</v>
      </c>
      <c r="E1877" s="29" t="s">
        <v>1181</v>
      </c>
      <c r="F1877" s="28">
        <v>600</v>
      </c>
      <c r="G1877" s="35"/>
      <c r="H1877" s="35">
        <f>H1878</f>
        <v>10068.41</v>
      </c>
      <c r="I1877" s="35">
        <f t="shared" ref="I1877:K1877" si="856">I1878</f>
        <v>10068.41</v>
      </c>
      <c r="J1877" s="35">
        <f t="shared" si="856"/>
        <v>10068.41</v>
      </c>
      <c r="K1877" s="35">
        <f t="shared" si="856"/>
        <v>10068.41</v>
      </c>
      <c r="L1877" s="35">
        <f t="shared" si="831"/>
        <v>100</v>
      </c>
      <c r="M1877" s="35">
        <f t="shared" si="832"/>
        <v>100</v>
      </c>
    </row>
    <row r="1878" spans="1:13">
      <c r="A1878" s="59" t="s">
        <v>82</v>
      </c>
      <c r="B1878" s="28" t="s">
        <v>741</v>
      </c>
      <c r="C1878" s="28" t="s">
        <v>110</v>
      </c>
      <c r="D1878" s="28" t="s">
        <v>110</v>
      </c>
      <c r="E1878" s="29" t="s">
        <v>1181</v>
      </c>
      <c r="F1878" s="28">
        <v>620</v>
      </c>
      <c r="G1878" s="35"/>
      <c r="H1878" s="35">
        <f>2098.032+7970.378</f>
        <v>10068.41</v>
      </c>
      <c r="I1878" s="35">
        <f>2098.032+7970.378</f>
        <v>10068.41</v>
      </c>
      <c r="J1878" s="35">
        <f>2098.032+7970.378</f>
        <v>10068.41</v>
      </c>
      <c r="K1878" s="35">
        <f>2098.032+7970.378</f>
        <v>10068.41</v>
      </c>
      <c r="L1878" s="35">
        <f t="shared" si="831"/>
        <v>100</v>
      </c>
      <c r="M1878" s="35">
        <f t="shared" si="832"/>
        <v>100</v>
      </c>
    </row>
    <row r="1879" spans="1:13" ht="25.5">
      <c r="A1879" s="59" t="s">
        <v>76</v>
      </c>
      <c r="B1879" s="28" t="s">
        <v>741</v>
      </c>
      <c r="C1879" s="28" t="s">
        <v>110</v>
      </c>
      <c r="D1879" s="28" t="s">
        <v>110</v>
      </c>
      <c r="E1879" s="28" t="s">
        <v>761</v>
      </c>
      <c r="F1879" s="58" t="s">
        <v>0</v>
      </c>
      <c r="G1879" s="35">
        <f>G1880</f>
        <v>30871</v>
      </c>
      <c r="H1879" s="35">
        <f t="shared" ref="H1879:K1879" si="857">H1880</f>
        <v>30871.012000000002</v>
      </c>
      <c r="I1879" s="35">
        <f t="shared" si="857"/>
        <v>26227.612000000001</v>
      </c>
      <c r="J1879" s="35">
        <f t="shared" si="857"/>
        <v>26227.612000000001</v>
      </c>
      <c r="K1879" s="35">
        <f t="shared" si="857"/>
        <v>26227.612000000001</v>
      </c>
      <c r="L1879" s="35">
        <f t="shared" si="831"/>
        <v>84.958704949484641</v>
      </c>
      <c r="M1879" s="35">
        <f t="shared" si="832"/>
        <v>100</v>
      </c>
    </row>
    <row r="1880" spans="1:13" ht="25.5">
      <c r="A1880" s="59" t="s">
        <v>80</v>
      </c>
      <c r="B1880" s="28" t="s">
        <v>741</v>
      </c>
      <c r="C1880" s="28" t="s">
        <v>110</v>
      </c>
      <c r="D1880" s="28" t="s">
        <v>110</v>
      </c>
      <c r="E1880" s="28" t="s">
        <v>761</v>
      </c>
      <c r="F1880" s="28" t="s">
        <v>81</v>
      </c>
      <c r="G1880" s="35">
        <f>G1881+G1882</f>
        <v>30871</v>
      </c>
      <c r="H1880" s="35">
        <f t="shared" ref="H1880:K1880" si="858">H1881+H1882</f>
        <v>30871.012000000002</v>
      </c>
      <c r="I1880" s="35">
        <f t="shared" si="858"/>
        <v>26227.612000000001</v>
      </c>
      <c r="J1880" s="35">
        <f t="shared" si="858"/>
        <v>26227.612000000001</v>
      </c>
      <c r="K1880" s="35">
        <f t="shared" si="858"/>
        <v>26227.612000000001</v>
      </c>
      <c r="L1880" s="35">
        <f t="shared" si="831"/>
        <v>84.958704949484641</v>
      </c>
      <c r="M1880" s="35">
        <f t="shared" si="832"/>
        <v>100</v>
      </c>
    </row>
    <row r="1881" spans="1:13">
      <c r="A1881" s="59" t="s">
        <v>271</v>
      </c>
      <c r="B1881" s="28" t="s">
        <v>741</v>
      </c>
      <c r="C1881" s="28" t="s">
        <v>110</v>
      </c>
      <c r="D1881" s="28" t="s">
        <v>110</v>
      </c>
      <c r="E1881" s="28" t="s">
        <v>761</v>
      </c>
      <c r="F1881" s="28" t="s">
        <v>272</v>
      </c>
      <c r="G1881" s="35">
        <v>778</v>
      </c>
      <c r="H1881" s="35">
        <v>778</v>
      </c>
      <c r="I1881" s="35">
        <v>778</v>
      </c>
      <c r="J1881" s="35">
        <v>778</v>
      </c>
      <c r="K1881" s="35">
        <v>778</v>
      </c>
      <c r="L1881" s="35">
        <f t="shared" si="831"/>
        <v>100</v>
      </c>
      <c r="M1881" s="35">
        <f t="shared" si="832"/>
        <v>100</v>
      </c>
    </row>
    <row r="1882" spans="1:13">
      <c r="A1882" s="59" t="s">
        <v>82</v>
      </c>
      <c r="B1882" s="28" t="s">
        <v>741</v>
      </c>
      <c r="C1882" s="28" t="s">
        <v>110</v>
      </c>
      <c r="D1882" s="28" t="s">
        <v>110</v>
      </c>
      <c r="E1882" s="28" t="s">
        <v>761</v>
      </c>
      <c r="F1882" s="28" t="s">
        <v>83</v>
      </c>
      <c r="G1882" s="35">
        <v>30093</v>
      </c>
      <c r="H1882" s="35">
        <f>14529.7+15563.312</f>
        <v>30093.012000000002</v>
      </c>
      <c r="I1882" s="35">
        <f>10610+14839.612</f>
        <v>25449.612000000001</v>
      </c>
      <c r="J1882" s="35">
        <f>10610+14839.612</f>
        <v>25449.612000000001</v>
      </c>
      <c r="K1882" s="35">
        <f>10610+14839.612</f>
        <v>25449.612000000001</v>
      </c>
      <c r="L1882" s="35">
        <f t="shared" si="831"/>
        <v>84.569839669089959</v>
      </c>
      <c r="M1882" s="35">
        <f t="shared" si="832"/>
        <v>100</v>
      </c>
    </row>
    <row r="1883" spans="1:13">
      <c r="A1883" s="59" t="s">
        <v>418</v>
      </c>
      <c r="B1883" s="28" t="s">
        <v>741</v>
      </c>
      <c r="C1883" s="28" t="s">
        <v>110</v>
      </c>
      <c r="D1883" s="28" t="s">
        <v>110</v>
      </c>
      <c r="E1883" s="28" t="s">
        <v>419</v>
      </c>
      <c r="F1883" s="58" t="s">
        <v>0</v>
      </c>
      <c r="G1883" s="35">
        <f>G1884</f>
        <v>70685.7</v>
      </c>
      <c r="H1883" s="35">
        <f t="shared" ref="H1883:K1884" si="859">H1884</f>
        <v>70685.687999999995</v>
      </c>
      <c r="I1883" s="35">
        <f t="shared" si="859"/>
        <v>70685.687999999995</v>
      </c>
      <c r="J1883" s="35">
        <f t="shared" si="859"/>
        <v>70685.687999999995</v>
      </c>
      <c r="K1883" s="35">
        <f t="shared" si="859"/>
        <v>67534.407999999996</v>
      </c>
      <c r="L1883" s="35">
        <f t="shared" si="831"/>
        <v>95.541841511113262</v>
      </c>
      <c r="M1883" s="35">
        <f t="shared" si="832"/>
        <v>95.541841511113262</v>
      </c>
    </row>
    <row r="1884" spans="1:13">
      <c r="A1884" s="59" t="s">
        <v>68</v>
      </c>
      <c r="B1884" s="28" t="s">
        <v>741</v>
      </c>
      <c r="C1884" s="28" t="s">
        <v>110</v>
      </c>
      <c r="D1884" s="28" t="s">
        <v>110</v>
      </c>
      <c r="E1884" s="28" t="s">
        <v>419</v>
      </c>
      <c r="F1884" s="28" t="s">
        <v>69</v>
      </c>
      <c r="G1884" s="35">
        <f>G1885</f>
        <v>70685.7</v>
      </c>
      <c r="H1884" s="35">
        <f t="shared" si="859"/>
        <v>70685.687999999995</v>
      </c>
      <c r="I1884" s="35">
        <f t="shared" si="859"/>
        <v>70685.687999999995</v>
      </c>
      <c r="J1884" s="35">
        <f t="shared" si="859"/>
        <v>70685.687999999995</v>
      </c>
      <c r="K1884" s="35">
        <f t="shared" si="859"/>
        <v>67534.407999999996</v>
      </c>
      <c r="L1884" s="35">
        <f t="shared" si="831"/>
        <v>95.541841511113262</v>
      </c>
      <c r="M1884" s="35">
        <f t="shared" si="832"/>
        <v>95.541841511113262</v>
      </c>
    </row>
    <row r="1885" spans="1:13" ht="25.5">
      <c r="A1885" s="59" t="s">
        <v>151</v>
      </c>
      <c r="B1885" s="28" t="s">
        <v>741</v>
      </c>
      <c r="C1885" s="28" t="s">
        <v>110</v>
      </c>
      <c r="D1885" s="28" t="s">
        <v>110</v>
      </c>
      <c r="E1885" s="28" t="s">
        <v>419</v>
      </c>
      <c r="F1885" s="28" t="s">
        <v>152</v>
      </c>
      <c r="G1885" s="35">
        <v>70685.7</v>
      </c>
      <c r="H1885" s="35">
        <v>70685.687999999995</v>
      </c>
      <c r="I1885" s="35">
        <v>70685.687999999995</v>
      </c>
      <c r="J1885" s="35">
        <v>70685.687999999995</v>
      </c>
      <c r="K1885" s="35">
        <v>67534.407999999996</v>
      </c>
      <c r="L1885" s="35">
        <f t="shared" si="831"/>
        <v>95.541841511113262</v>
      </c>
      <c r="M1885" s="35">
        <f t="shared" si="832"/>
        <v>95.541841511113262</v>
      </c>
    </row>
    <row r="1886" spans="1:13" ht="25.5">
      <c r="A1886" s="59" t="s">
        <v>762</v>
      </c>
      <c r="B1886" s="28" t="s">
        <v>741</v>
      </c>
      <c r="C1886" s="28" t="s">
        <v>110</v>
      </c>
      <c r="D1886" s="28" t="s">
        <v>110</v>
      </c>
      <c r="E1886" s="28" t="s">
        <v>763</v>
      </c>
      <c r="F1886" s="58" t="s">
        <v>0</v>
      </c>
      <c r="G1886" s="35">
        <f>G1887</f>
        <v>199699</v>
      </c>
      <c r="H1886" s="35">
        <f t="shared" ref="H1886:K1887" si="860">H1887</f>
        <v>199699</v>
      </c>
      <c r="I1886" s="35">
        <f t="shared" si="860"/>
        <v>199040</v>
      </c>
      <c r="J1886" s="35">
        <f t="shared" si="860"/>
        <v>199040</v>
      </c>
      <c r="K1886" s="35">
        <f t="shared" si="860"/>
        <v>176093.96189000001</v>
      </c>
      <c r="L1886" s="35">
        <f t="shared" si="831"/>
        <v>88.179691380527686</v>
      </c>
      <c r="M1886" s="35">
        <f t="shared" si="832"/>
        <v>88.471644840233125</v>
      </c>
    </row>
    <row r="1887" spans="1:13">
      <c r="A1887" s="59" t="s">
        <v>26</v>
      </c>
      <c r="B1887" s="28" t="s">
        <v>741</v>
      </c>
      <c r="C1887" s="28" t="s">
        <v>110</v>
      </c>
      <c r="D1887" s="28" t="s">
        <v>110</v>
      </c>
      <c r="E1887" s="28" t="s">
        <v>763</v>
      </c>
      <c r="F1887" s="28" t="s">
        <v>27</v>
      </c>
      <c r="G1887" s="35">
        <f>G1888</f>
        <v>199699</v>
      </c>
      <c r="H1887" s="35">
        <f t="shared" si="860"/>
        <v>199699</v>
      </c>
      <c r="I1887" s="35">
        <f t="shared" si="860"/>
        <v>199040</v>
      </c>
      <c r="J1887" s="35">
        <f t="shared" si="860"/>
        <v>199040</v>
      </c>
      <c r="K1887" s="35">
        <f t="shared" si="860"/>
        <v>176093.96189000001</v>
      </c>
      <c r="L1887" s="35">
        <f t="shared" si="831"/>
        <v>88.179691380527686</v>
      </c>
      <c r="M1887" s="35">
        <f t="shared" si="832"/>
        <v>88.471644840233125</v>
      </c>
    </row>
    <row r="1888" spans="1:13">
      <c r="A1888" s="59" t="s">
        <v>56</v>
      </c>
      <c r="B1888" s="28" t="s">
        <v>741</v>
      </c>
      <c r="C1888" s="28" t="s">
        <v>110</v>
      </c>
      <c r="D1888" s="28" t="s">
        <v>110</v>
      </c>
      <c r="E1888" s="28" t="s">
        <v>763</v>
      </c>
      <c r="F1888" s="28" t="s">
        <v>57</v>
      </c>
      <c r="G1888" s="35">
        <v>199699</v>
      </c>
      <c r="H1888" s="35">
        <v>199699</v>
      </c>
      <c r="I1888" s="35">
        <v>199040</v>
      </c>
      <c r="J1888" s="35">
        <v>199040</v>
      </c>
      <c r="K1888" s="35">
        <v>176093.96189000001</v>
      </c>
      <c r="L1888" s="35">
        <f t="shared" si="831"/>
        <v>88.179691380527686</v>
      </c>
      <c r="M1888" s="35">
        <f t="shared" si="832"/>
        <v>88.471644840233125</v>
      </c>
    </row>
    <row r="1889" spans="1:13">
      <c r="A1889" s="60" t="s">
        <v>0</v>
      </c>
      <c r="B1889" s="58" t="s">
        <v>0</v>
      </c>
      <c r="C1889" s="58" t="s">
        <v>0</v>
      </c>
      <c r="D1889" s="58" t="s">
        <v>0</v>
      </c>
      <c r="E1889" s="58" t="s">
        <v>0</v>
      </c>
      <c r="F1889" s="58" t="s">
        <v>0</v>
      </c>
      <c r="G1889" s="61" t="s">
        <v>0</v>
      </c>
      <c r="H1889" s="61" t="s">
        <v>0</v>
      </c>
      <c r="I1889" s="61" t="s">
        <v>0</v>
      </c>
      <c r="J1889" s="61" t="s">
        <v>0</v>
      </c>
      <c r="K1889" s="61" t="s">
        <v>0</v>
      </c>
      <c r="L1889" s="35"/>
      <c r="M1889" s="35"/>
    </row>
    <row r="1890" spans="1:13">
      <c r="A1890" s="59" t="s">
        <v>147</v>
      </c>
      <c r="B1890" s="28" t="s">
        <v>741</v>
      </c>
      <c r="C1890" s="28" t="s">
        <v>148</v>
      </c>
      <c r="D1890" s="58" t="s">
        <v>0</v>
      </c>
      <c r="E1890" s="58" t="s">
        <v>0</v>
      </c>
      <c r="F1890" s="58" t="s">
        <v>0</v>
      </c>
      <c r="G1890" s="35">
        <f>G1891+G1899+G1961+G2142+G2185</f>
        <v>10727194.300000001</v>
      </c>
      <c r="H1890" s="35">
        <f t="shared" ref="H1890:K1890" si="861">H1891+H1899+H1961+H2142+H2185</f>
        <v>10732214.380549999</v>
      </c>
      <c r="I1890" s="35">
        <f t="shared" si="861"/>
        <v>8107666.3264900008</v>
      </c>
      <c r="J1890" s="35">
        <f t="shared" si="861"/>
        <v>8107304.3759200005</v>
      </c>
      <c r="K1890" s="35">
        <f t="shared" si="861"/>
        <v>8086505.2889799988</v>
      </c>
      <c r="L1890" s="35">
        <f t="shared" si="831"/>
        <v>75.347966433052065</v>
      </c>
      <c r="M1890" s="35">
        <f t="shared" si="832"/>
        <v>99.738999649740606</v>
      </c>
    </row>
    <row r="1891" spans="1:13">
      <c r="A1891" s="59" t="s">
        <v>764</v>
      </c>
      <c r="B1891" s="28" t="s">
        <v>741</v>
      </c>
      <c r="C1891" s="28" t="s">
        <v>148</v>
      </c>
      <c r="D1891" s="28" t="s">
        <v>17</v>
      </c>
      <c r="E1891" s="58" t="s">
        <v>0</v>
      </c>
      <c r="F1891" s="58" t="s">
        <v>0</v>
      </c>
      <c r="G1891" s="35">
        <f>G1892</f>
        <v>53766.7</v>
      </c>
      <c r="H1891" s="35">
        <f t="shared" ref="H1891:K1893" si="862">H1892</f>
        <v>53766.720000000001</v>
      </c>
      <c r="I1891" s="35">
        <f t="shared" si="862"/>
        <v>40420.440999999999</v>
      </c>
      <c r="J1891" s="35">
        <f t="shared" si="862"/>
        <v>40420.440999999999</v>
      </c>
      <c r="K1891" s="35">
        <f t="shared" si="862"/>
        <v>40380.779829999999</v>
      </c>
      <c r="L1891" s="35">
        <f t="shared" ref="L1891:L1954" si="863">K1891/H1891*100</f>
        <v>75.103669760773954</v>
      </c>
      <c r="M1891" s="35">
        <f t="shared" ref="M1891:M1954" si="864">K1891/I1891*100</f>
        <v>99.901878433241237</v>
      </c>
    </row>
    <row r="1892" spans="1:13" ht="38.25">
      <c r="A1892" s="59" t="s">
        <v>299</v>
      </c>
      <c r="B1892" s="28" t="s">
        <v>741</v>
      </c>
      <c r="C1892" s="28" t="s">
        <v>148</v>
      </c>
      <c r="D1892" s="28" t="s">
        <v>17</v>
      </c>
      <c r="E1892" s="28" t="s">
        <v>300</v>
      </c>
      <c r="F1892" s="58" t="s">
        <v>0</v>
      </c>
      <c r="G1892" s="35">
        <f>G1893</f>
        <v>53766.7</v>
      </c>
      <c r="H1892" s="35">
        <f t="shared" si="862"/>
        <v>53766.720000000001</v>
      </c>
      <c r="I1892" s="35">
        <f t="shared" si="862"/>
        <v>40420.440999999999</v>
      </c>
      <c r="J1892" s="35">
        <f t="shared" si="862"/>
        <v>40420.440999999999</v>
      </c>
      <c r="K1892" s="35">
        <f t="shared" si="862"/>
        <v>40380.779829999999</v>
      </c>
      <c r="L1892" s="35">
        <f t="shared" si="863"/>
        <v>75.103669760773954</v>
      </c>
      <c r="M1892" s="35">
        <f t="shared" si="864"/>
        <v>99.901878433241237</v>
      </c>
    </row>
    <row r="1893" spans="1:13" ht="38.25">
      <c r="A1893" s="59" t="s">
        <v>765</v>
      </c>
      <c r="B1893" s="28" t="s">
        <v>741</v>
      </c>
      <c r="C1893" s="28" t="s">
        <v>148</v>
      </c>
      <c r="D1893" s="28" t="s">
        <v>17</v>
      </c>
      <c r="E1893" s="28" t="s">
        <v>766</v>
      </c>
      <c r="F1893" s="58" t="s">
        <v>0</v>
      </c>
      <c r="G1893" s="35">
        <f>G1894</f>
        <v>53766.7</v>
      </c>
      <c r="H1893" s="35">
        <f t="shared" si="862"/>
        <v>53766.720000000001</v>
      </c>
      <c r="I1893" s="35">
        <f t="shared" si="862"/>
        <v>40420.440999999999</v>
      </c>
      <c r="J1893" s="35">
        <f t="shared" si="862"/>
        <v>40420.440999999999</v>
      </c>
      <c r="K1893" s="35">
        <f t="shared" si="862"/>
        <v>40380.779829999999</v>
      </c>
      <c r="L1893" s="35">
        <f t="shared" si="863"/>
        <v>75.103669760773954</v>
      </c>
      <c r="M1893" s="35">
        <f t="shared" si="864"/>
        <v>99.901878433241237</v>
      </c>
    </row>
    <row r="1894" spans="1:13" ht="25.5">
      <c r="A1894" s="59" t="s">
        <v>767</v>
      </c>
      <c r="B1894" s="28" t="s">
        <v>741</v>
      </c>
      <c r="C1894" s="28" t="s">
        <v>148</v>
      </c>
      <c r="D1894" s="28" t="s">
        <v>17</v>
      </c>
      <c r="E1894" s="28" t="s">
        <v>768</v>
      </c>
      <c r="F1894" s="58" t="s">
        <v>0</v>
      </c>
      <c r="G1894" s="35">
        <f>G1895+G1897</f>
        <v>53766.7</v>
      </c>
      <c r="H1894" s="35">
        <f t="shared" ref="H1894:K1894" si="865">H1895+H1897</f>
        <v>53766.720000000001</v>
      </c>
      <c r="I1894" s="35">
        <f t="shared" si="865"/>
        <v>40420.440999999999</v>
      </c>
      <c r="J1894" s="35">
        <f t="shared" si="865"/>
        <v>40420.440999999999</v>
      </c>
      <c r="K1894" s="35">
        <f t="shared" si="865"/>
        <v>40380.779829999999</v>
      </c>
      <c r="L1894" s="35">
        <f t="shared" si="863"/>
        <v>75.103669760773954</v>
      </c>
      <c r="M1894" s="35">
        <f t="shared" si="864"/>
        <v>99.901878433241237</v>
      </c>
    </row>
    <row r="1895" spans="1:13" ht="25.5">
      <c r="A1895" s="59" t="s">
        <v>64</v>
      </c>
      <c r="B1895" s="28" t="s">
        <v>741</v>
      </c>
      <c r="C1895" s="28" t="s">
        <v>148</v>
      </c>
      <c r="D1895" s="28" t="s">
        <v>17</v>
      </c>
      <c r="E1895" s="28" t="s">
        <v>768</v>
      </c>
      <c r="F1895" s="28" t="s">
        <v>65</v>
      </c>
      <c r="G1895" s="35">
        <f>G1896</f>
        <v>426.7</v>
      </c>
      <c r="H1895" s="35">
        <f t="shared" ref="H1895:K1895" si="866">H1896</f>
        <v>426.72</v>
      </c>
      <c r="I1895" s="35">
        <f t="shared" si="866"/>
        <v>243.70099999999999</v>
      </c>
      <c r="J1895" s="35">
        <f t="shared" si="866"/>
        <v>243.70099999999999</v>
      </c>
      <c r="K1895" s="35">
        <f t="shared" si="866"/>
        <v>214.15290999999999</v>
      </c>
      <c r="L1895" s="35">
        <f t="shared" si="863"/>
        <v>50.185815054368199</v>
      </c>
      <c r="M1895" s="35">
        <f t="shared" si="864"/>
        <v>87.875269284902402</v>
      </c>
    </row>
    <row r="1896" spans="1:13" ht="25.5">
      <c r="A1896" s="59" t="s">
        <v>66</v>
      </c>
      <c r="B1896" s="28" t="s">
        <v>741</v>
      </c>
      <c r="C1896" s="28" t="s">
        <v>148</v>
      </c>
      <c r="D1896" s="28" t="s">
        <v>17</v>
      </c>
      <c r="E1896" s="28" t="s">
        <v>768</v>
      </c>
      <c r="F1896" s="28" t="s">
        <v>67</v>
      </c>
      <c r="G1896" s="35">
        <v>426.7</v>
      </c>
      <c r="H1896" s="35">
        <v>426.72</v>
      </c>
      <c r="I1896" s="35">
        <v>243.70099999999999</v>
      </c>
      <c r="J1896" s="35">
        <v>243.70099999999999</v>
      </c>
      <c r="K1896" s="35">
        <v>214.15290999999999</v>
      </c>
      <c r="L1896" s="35">
        <f t="shared" si="863"/>
        <v>50.185815054368199</v>
      </c>
      <c r="M1896" s="35">
        <f t="shared" si="864"/>
        <v>87.875269284902402</v>
      </c>
    </row>
    <row r="1897" spans="1:13">
      <c r="A1897" s="59" t="s">
        <v>68</v>
      </c>
      <c r="B1897" s="28" t="s">
        <v>741</v>
      </c>
      <c r="C1897" s="28" t="s">
        <v>148</v>
      </c>
      <c r="D1897" s="28" t="s">
        <v>17</v>
      </c>
      <c r="E1897" s="28" t="s">
        <v>768</v>
      </c>
      <c r="F1897" s="28" t="s">
        <v>69</v>
      </c>
      <c r="G1897" s="35">
        <f>G1898</f>
        <v>53340</v>
      </c>
      <c r="H1897" s="35">
        <f t="shared" ref="H1897:K1897" si="867">H1898</f>
        <v>53340</v>
      </c>
      <c r="I1897" s="35">
        <f t="shared" si="867"/>
        <v>40176.74</v>
      </c>
      <c r="J1897" s="35">
        <f t="shared" si="867"/>
        <v>40176.74</v>
      </c>
      <c r="K1897" s="35">
        <f t="shared" si="867"/>
        <v>40166.626920000002</v>
      </c>
      <c r="L1897" s="35">
        <f t="shared" si="863"/>
        <v>75.303012598425198</v>
      </c>
      <c r="M1897" s="35">
        <f t="shared" si="864"/>
        <v>99.974828520183578</v>
      </c>
    </row>
    <row r="1898" spans="1:13" ht="25.5">
      <c r="A1898" s="59" t="s">
        <v>151</v>
      </c>
      <c r="B1898" s="28" t="s">
        <v>741</v>
      </c>
      <c r="C1898" s="28" t="s">
        <v>148</v>
      </c>
      <c r="D1898" s="28" t="s">
        <v>17</v>
      </c>
      <c r="E1898" s="28" t="s">
        <v>768</v>
      </c>
      <c r="F1898" s="28" t="s">
        <v>152</v>
      </c>
      <c r="G1898" s="35">
        <v>53340</v>
      </c>
      <c r="H1898" s="35">
        <v>53340</v>
      </c>
      <c r="I1898" s="35">
        <v>40176.74</v>
      </c>
      <c r="J1898" s="35">
        <v>40176.74</v>
      </c>
      <c r="K1898" s="35">
        <v>40166.626920000002</v>
      </c>
      <c r="L1898" s="35">
        <f t="shared" si="863"/>
        <v>75.303012598425198</v>
      </c>
      <c r="M1898" s="35">
        <f t="shared" si="864"/>
        <v>99.974828520183578</v>
      </c>
    </row>
    <row r="1899" spans="1:13">
      <c r="A1899" s="59" t="s">
        <v>769</v>
      </c>
      <c r="B1899" s="28" t="s">
        <v>741</v>
      </c>
      <c r="C1899" s="28" t="s">
        <v>148</v>
      </c>
      <c r="D1899" s="28" t="s">
        <v>106</v>
      </c>
      <c r="E1899" s="58" t="s">
        <v>0</v>
      </c>
      <c r="F1899" s="58" t="s">
        <v>0</v>
      </c>
      <c r="G1899" s="35">
        <f>G1900+G1949</f>
        <v>2088513.5999999999</v>
      </c>
      <c r="H1899" s="35">
        <f>H1900+H1949+H1956</f>
        <v>2091388.4678</v>
      </c>
      <c r="I1899" s="35">
        <f t="shared" ref="I1899:K1899" si="868">I1900+I1949+I1956</f>
        <v>1551407.4159999997</v>
      </c>
      <c r="J1899" s="35">
        <f t="shared" si="868"/>
        <v>1551336.7159999998</v>
      </c>
      <c r="K1899" s="35">
        <f t="shared" si="868"/>
        <v>1537383.5602100003</v>
      </c>
      <c r="L1899" s="35">
        <f t="shared" si="863"/>
        <v>73.510186360892789</v>
      </c>
      <c r="M1899" s="35">
        <f t="shared" si="864"/>
        <v>99.096055900895635</v>
      </c>
    </row>
    <row r="1900" spans="1:13" ht="38.25">
      <c r="A1900" s="59" t="s">
        <v>299</v>
      </c>
      <c r="B1900" s="28" t="s">
        <v>741</v>
      </c>
      <c r="C1900" s="28" t="s">
        <v>148</v>
      </c>
      <c r="D1900" s="28" t="s">
        <v>106</v>
      </c>
      <c r="E1900" s="28" t="s">
        <v>300</v>
      </c>
      <c r="F1900" s="58" t="s">
        <v>0</v>
      </c>
      <c r="G1900" s="35">
        <f>G1901+G1926+G1930+G1935+G1945</f>
        <v>2085606.5999999999</v>
      </c>
      <c r="H1900" s="35">
        <f t="shared" ref="H1900:K1900" si="869">H1901+H1926+H1930+H1935+H1945</f>
        <v>2088370.8768</v>
      </c>
      <c r="I1900" s="35">
        <f t="shared" si="869"/>
        <v>1548389.8249999997</v>
      </c>
      <c r="J1900" s="35">
        <f t="shared" si="869"/>
        <v>1548319.1249999998</v>
      </c>
      <c r="K1900" s="35">
        <f t="shared" si="869"/>
        <v>1534365.9692100002</v>
      </c>
      <c r="L1900" s="35">
        <f t="shared" si="863"/>
        <v>73.471909910997297</v>
      </c>
      <c r="M1900" s="35">
        <f t="shared" si="864"/>
        <v>99.094294242730541</v>
      </c>
    </row>
    <row r="1901" spans="1:13" ht="38.25">
      <c r="A1901" s="59" t="s">
        <v>770</v>
      </c>
      <c r="B1901" s="28" t="s">
        <v>741</v>
      </c>
      <c r="C1901" s="28" t="s">
        <v>148</v>
      </c>
      <c r="D1901" s="28" t="s">
        <v>106</v>
      </c>
      <c r="E1901" s="28" t="s">
        <v>771</v>
      </c>
      <c r="F1901" s="58" t="s">
        <v>0</v>
      </c>
      <c r="G1901" s="35">
        <f>G1902+G1915+G1918+G1923</f>
        <v>2022444.5</v>
      </c>
      <c r="H1901" s="35">
        <f t="shared" ref="H1901:K1901" si="870">H1902+H1915+H1918+H1923</f>
        <v>2020554.4768000001</v>
      </c>
      <c r="I1901" s="35">
        <f t="shared" si="870"/>
        <v>1490813.9959999998</v>
      </c>
      <c r="J1901" s="35">
        <f t="shared" si="870"/>
        <v>1490743.2959999999</v>
      </c>
      <c r="K1901" s="35">
        <f t="shared" si="870"/>
        <v>1476790.1402100003</v>
      </c>
      <c r="L1901" s="35">
        <f t="shared" si="863"/>
        <v>73.088360505321674</v>
      </c>
      <c r="M1901" s="35">
        <f t="shared" si="864"/>
        <v>99.059315526442134</v>
      </c>
    </row>
    <row r="1902" spans="1:13" ht="25.5">
      <c r="A1902" s="59" t="s">
        <v>76</v>
      </c>
      <c r="B1902" s="28" t="s">
        <v>741</v>
      </c>
      <c r="C1902" s="28" t="s">
        <v>148</v>
      </c>
      <c r="D1902" s="28" t="s">
        <v>106</v>
      </c>
      <c r="E1902" s="28" t="s">
        <v>772</v>
      </c>
      <c r="F1902" s="58" t="s">
        <v>0</v>
      </c>
      <c r="G1902" s="35">
        <f>G1903+G1905+G1909+G1912</f>
        <v>1947758.7</v>
      </c>
      <c r="H1902" s="35">
        <f>H1903+H1905+H1909+H1912+H1907</f>
        <v>1979868.6768</v>
      </c>
      <c r="I1902" s="35">
        <f t="shared" ref="I1902:K1902" si="871">I1903+I1905+I1909+I1912+I1907</f>
        <v>1486063.7969999998</v>
      </c>
      <c r="J1902" s="35">
        <f t="shared" si="871"/>
        <v>1485993.0969999998</v>
      </c>
      <c r="K1902" s="35">
        <f t="shared" si="871"/>
        <v>1472330.4040800002</v>
      </c>
      <c r="L1902" s="35">
        <f t="shared" si="863"/>
        <v>74.365053669098998</v>
      </c>
      <c r="M1902" s="35">
        <f t="shared" si="864"/>
        <v>99.07585441838205</v>
      </c>
    </row>
    <row r="1903" spans="1:13" ht="63.75">
      <c r="A1903" s="59" t="s">
        <v>60</v>
      </c>
      <c r="B1903" s="28" t="s">
        <v>741</v>
      </c>
      <c r="C1903" s="28" t="s">
        <v>148</v>
      </c>
      <c r="D1903" s="28" t="s">
        <v>106</v>
      </c>
      <c r="E1903" s="28" t="s">
        <v>772</v>
      </c>
      <c r="F1903" s="28" t="s">
        <v>61</v>
      </c>
      <c r="G1903" s="35">
        <f>G1904</f>
        <v>270444.09999999998</v>
      </c>
      <c r="H1903" s="35">
        <f>H1904</f>
        <v>269814.48300000001</v>
      </c>
      <c r="I1903" s="35">
        <f t="shared" ref="I1903:K1903" si="872">I1904</f>
        <v>202459.83199999999</v>
      </c>
      <c r="J1903" s="35">
        <f t="shared" si="872"/>
        <v>202459.83199999999</v>
      </c>
      <c r="K1903" s="35">
        <f t="shared" si="872"/>
        <v>190043.97381999998</v>
      </c>
      <c r="L1903" s="35">
        <f t="shared" si="863"/>
        <v>70.435052895214668</v>
      </c>
      <c r="M1903" s="35">
        <f t="shared" si="864"/>
        <v>93.867495563268065</v>
      </c>
    </row>
    <row r="1904" spans="1:13">
      <c r="A1904" s="59" t="s">
        <v>78</v>
      </c>
      <c r="B1904" s="28" t="s">
        <v>741</v>
      </c>
      <c r="C1904" s="28" t="s">
        <v>148</v>
      </c>
      <c r="D1904" s="28" t="s">
        <v>106</v>
      </c>
      <c r="E1904" s="28" t="s">
        <v>772</v>
      </c>
      <c r="F1904" s="28" t="s">
        <v>79</v>
      </c>
      <c r="G1904" s="35">
        <v>270444.09999999998</v>
      </c>
      <c r="H1904" s="35">
        <f>199372.057+9649.18+60793.246</f>
        <v>269814.48300000001</v>
      </c>
      <c r="I1904" s="35">
        <f>149378.452+7486.08+45595.3</f>
        <v>202459.83199999999</v>
      </c>
      <c r="J1904" s="35">
        <f>149378.452+7486.08+45595.3</f>
        <v>202459.83199999999</v>
      </c>
      <c r="K1904" s="35">
        <f>140177.65055+7399.39912+42466.92415</f>
        <v>190043.97381999998</v>
      </c>
      <c r="L1904" s="35">
        <f t="shared" si="863"/>
        <v>70.435052895214668</v>
      </c>
      <c r="M1904" s="35">
        <f t="shared" si="864"/>
        <v>93.867495563268065</v>
      </c>
    </row>
    <row r="1905" spans="1:13" ht="25.5">
      <c r="A1905" s="59" t="s">
        <v>64</v>
      </c>
      <c r="B1905" s="28" t="s">
        <v>741</v>
      </c>
      <c r="C1905" s="28" t="s">
        <v>148</v>
      </c>
      <c r="D1905" s="28" t="s">
        <v>106</v>
      </c>
      <c r="E1905" s="28" t="s">
        <v>772</v>
      </c>
      <c r="F1905" s="28" t="s">
        <v>65</v>
      </c>
      <c r="G1905" s="35">
        <f>G1906</f>
        <v>28756.799999999999</v>
      </c>
      <c r="H1905" s="35">
        <f t="shared" ref="H1905:K1905" si="873">H1906</f>
        <v>28731.792799999999</v>
      </c>
      <c r="I1905" s="35">
        <f t="shared" si="873"/>
        <v>19740.27</v>
      </c>
      <c r="J1905" s="35">
        <f t="shared" si="873"/>
        <v>19740.27</v>
      </c>
      <c r="K1905" s="35">
        <f t="shared" si="873"/>
        <v>18645.415349999999</v>
      </c>
      <c r="L1905" s="35">
        <f t="shared" si="863"/>
        <v>64.89471603735079</v>
      </c>
      <c r="M1905" s="35">
        <f t="shared" si="864"/>
        <v>94.453699721432372</v>
      </c>
    </row>
    <row r="1906" spans="1:13" ht="25.5">
      <c r="A1906" s="59" t="s">
        <v>66</v>
      </c>
      <c r="B1906" s="28" t="s">
        <v>741</v>
      </c>
      <c r="C1906" s="28" t="s">
        <v>148</v>
      </c>
      <c r="D1906" s="28" t="s">
        <v>106</v>
      </c>
      <c r="E1906" s="28" t="s">
        <v>772</v>
      </c>
      <c r="F1906" s="28" t="s">
        <v>67</v>
      </c>
      <c r="G1906" s="35">
        <v>28756.799999999999</v>
      </c>
      <c r="H1906" s="35">
        <v>28731.792799999999</v>
      </c>
      <c r="I1906" s="35">
        <v>19740.27</v>
      </c>
      <c r="J1906" s="35">
        <v>19740.27</v>
      </c>
      <c r="K1906" s="35">
        <v>18645.415349999999</v>
      </c>
      <c r="L1906" s="35">
        <f t="shared" si="863"/>
        <v>64.89471603735079</v>
      </c>
      <c r="M1906" s="35">
        <f t="shared" si="864"/>
        <v>94.453699721432372</v>
      </c>
    </row>
    <row r="1907" spans="1:13">
      <c r="A1907" s="59" t="s">
        <v>68</v>
      </c>
      <c r="B1907" s="28" t="s">
        <v>741</v>
      </c>
      <c r="C1907" s="28" t="s">
        <v>148</v>
      </c>
      <c r="D1907" s="28" t="s">
        <v>106</v>
      </c>
      <c r="E1907" s="28" t="s">
        <v>772</v>
      </c>
      <c r="F1907" s="28">
        <v>300</v>
      </c>
      <c r="G1907" s="35"/>
      <c r="H1907" s="35">
        <f>H1908</f>
        <v>609.34299999999996</v>
      </c>
      <c r="I1907" s="35">
        <f t="shared" ref="I1907:K1907" si="874">I1908</f>
        <v>578.40599999999995</v>
      </c>
      <c r="J1907" s="35">
        <f t="shared" si="874"/>
        <v>578.40599999999995</v>
      </c>
      <c r="K1907" s="35">
        <f t="shared" si="874"/>
        <v>456.84034000000003</v>
      </c>
      <c r="L1907" s="35">
        <f t="shared" si="863"/>
        <v>74.972608202605102</v>
      </c>
      <c r="M1907" s="35">
        <f t="shared" si="864"/>
        <v>78.982641950463872</v>
      </c>
    </row>
    <row r="1908" spans="1:13" ht="25.5">
      <c r="A1908" s="59" t="s">
        <v>151</v>
      </c>
      <c r="B1908" s="28" t="s">
        <v>741</v>
      </c>
      <c r="C1908" s="28" t="s">
        <v>148</v>
      </c>
      <c r="D1908" s="28" t="s">
        <v>106</v>
      </c>
      <c r="E1908" s="28" t="s">
        <v>772</v>
      </c>
      <c r="F1908" s="28">
        <v>320</v>
      </c>
      <c r="G1908" s="35"/>
      <c r="H1908" s="35">
        <v>609.34299999999996</v>
      </c>
      <c r="I1908" s="35">
        <v>578.40599999999995</v>
      </c>
      <c r="J1908" s="35">
        <v>578.40599999999995</v>
      </c>
      <c r="K1908" s="35">
        <v>456.84034000000003</v>
      </c>
      <c r="L1908" s="35">
        <f t="shared" si="863"/>
        <v>74.972608202605102</v>
      </c>
      <c r="M1908" s="35">
        <f t="shared" si="864"/>
        <v>78.982641950463872</v>
      </c>
    </row>
    <row r="1909" spans="1:13" ht="25.5">
      <c r="A1909" s="59" t="s">
        <v>80</v>
      </c>
      <c r="B1909" s="28" t="s">
        <v>741</v>
      </c>
      <c r="C1909" s="28" t="s">
        <v>148</v>
      </c>
      <c r="D1909" s="28" t="s">
        <v>106</v>
      </c>
      <c r="E1909" s="28" t="s">
        <v>772</v>
      </c>
      <c r="F1909" s="28" t="s">
        <v>81</v>
      </c>
      <c r="G1909" s="35">
        <f>G1910+G1911</f>
        <v>1648164.3</v>
      </c>
      <c r="H1909" s="35">
        <f t="shared" ref="H1909:K1909" si="875">H1910+H1911</f>
        <v>1680274.294</v>
      </c>
      <c r="I1909" s="35">
        <f t="shared" si="875"/>
        <v>1262921.2709999999</v>
      </c>
      <c r="J1909" s="35">
        <f t="shared" si="875"/>
        <v>1262921.2709999999</v>
      </c>
      <c r="K1909" s="35">
        <f t="shared" si="875"/>
        <v>1262921.2709999999</v>
      </c>
      <c r="L1909" s="35">
        <f t="shared" si="863"/>
        <v>75.161613524035729</v>
      </c>
      <c r="M1909" s="35">
        <f t="shared" si="864"/>
        <v>100</v>
      </c>
    </row>
    <row r="1910" spans="1:13">
      <c r="A1910" s="59" t="s">
        <v>271</v>
      </c>
      <c r="B1910" s="28" t="s">
        <v>741</v>
      </c>
      <c r="C1910" s="28" t="s">
        <v>148</v>
      </c>
      <c r="D1910" s="28" t="s">
        <v>106</v>
      </c>
      <c r="E1910" s="28" t="s">
        <v>772</v>
      </c>
      <c r="F1910" s="28" t="s">
        <v>272</v>
      </c>
      <c r="G1910" s="35">
        <v>1537765.8</v>
      </c>
      <c r="H1910" s="35">
        <f>1516836.85405+33657</f>
        <v>1550493.85405</v>
      </c>
      <c r="I1910" s="35">
        <f>1138147.981+29183.09</f>
        <v>1167331.071</v>
      </c>
      <c r="J1910" s="35">
        <f>1138147.981+29183.09</f>
        <v>1167331.071</v>
      </c>
      <c r="K1910" s="35">
        <f>1138147.981+29183.09</f>
        <v>1167331.071</v>
      </c>
      <c r="L1910" s="35">
        <f t="shared" si="863"/>
        <v>75.287694172463077</v>
      </c>
      <c r="M1910" s="35">
        <f t="shared" si="864"/>
        <v>100</v>
      </c>
    </row>
    <row r="1911" spans="1:13">
      <c r="A1911" s="59" t="s">
        <v>82</v>
      </c>
      <c r="B1911" s="28" t="s">
        <v>741</v>
      </c>
      <c r="C1911" s="28" t="s">
        <v>148</v>
      </c>
      <c r="D1911" s="28" t="s">
        <v>106</v>
      </c>
      <c r="E1911" s="28" t="s">
        <v>772</v>
      </c>
      <c r="F1911" s="28" t="s">
        <v>83</v>
      </c>
      <c r="G1911" s="35">
        <v>110398.5</v>
      </c>
      <c r="H1911" s="35">
        <f>126159.73995+3620.7</f>
        <v>129780.43995</v>
      </c>
      <c r="I1911" s="35">
        <f>92190.9+3399.3</f>
        <v>95590.2</v>
      </c>
      <c r="J1911" s="35">
        <f>92190.9+3399.3</f>
        <v>95590.2</v>
      </c>
      <c r="K1911" s="35">
        <f>92190.9+3399.3</f>
        <v>95590.2</v>
      </c>
      <c r="L1911" s="35">
        <f t="shared" si="863"/>
        <v>73.655321277095112</v>
      </c>
      <c r="M1911" s="35">
        <f t="shared" si="864"/>
        <v>100</v>
      </c>
    </row>
    <row r="1912" spans="1:13">
      <c r="A1912" s="59" t="s">
        <v>72</v>
      </c>
      <c r="B1912" s="28" t="s">
        <v>741</v>
      </c>
      <c r="C1912" s="28" t="s">
        <v>148</v>
      </c>
      <c r="D1912" s="28" t="s">
        <v>106</v>
      </c>
      <c r="E1912" s="28" t="s">
        <v>772</v>
      </c>
      <c r="F1912" s="28" t="s">
        <v>73</v>
      </c>
      <c r="G1912" s="35">
        <f>G1913+G1914</f>
        <v>393.5</v>
      </c>
      <c r="H1912" s="35">
        <f t="shared" ref="H1912:K1912" si="876">H1913+H1914</f>
        <v>438.76400000000007</v>
      </c>
      <c r="I1912" s="35">
        <f t="shared" si="876"/>
        <v>364.01800000000003</v>
      </c>
      <c r="J1912" s="35">
        <f t="shared" si="876"/>
        <v>293.31800000000004</v>
      </c>
      <c r="K1912" s="35">
        <f t="shared" si="876"/>
        <v>262.90357</v>
      </c>
      <c r="L1912" s="35">
        <f t="shared" si="863"/>
        <v>59.919129646005587</v>
      </c>
      <c r="M1912" s="35">
        <f t="shared" si="864"/>
        <v>72.222684043096763</v>
      </c>
    </row>
    <row r="1913" spans="1:13">
      <c r="A1913" s="59" t="s">
        <v>84</v>
      </c>
      <c r="B1913" s="28" t="s">
        <v>741</v>
      </c>
      <c r="C1913" s="28" t="s">
        <v>148</v>
      </c>
      <c r="D1913" s="28" t="s">
        <v>106</v>
      </c>
      <c r="E1913" s="28" t="s">
        <v>772</v>
      </c>
      <c r="F1913" s="28" t="s">
        <v>85</v>
      </c>
      <c r="G1913" s="35">
        <v>18</v>
      </c>
      <c r="H1913" s="35">
        <v>63.253999999999998</v>
      </c>
      <c r="I1913" s="35">
        <v>60.753999999999998</v>
      </c>
      <c r="J1913" s="35">
        <v>60.753999999999998</v>
      </c>
      <c r="K1913" s="35">
        <v>60.753999999999998</v>
      </c>
      <c r="L1913" s="35">
        <f t="shared" si="863"/>
        <v>96.047680779081162</v>
      </c>
      <c r="M1913" s="35">
        <f t="shared" si="864"/>
        <v>100</v>
      </c>
    </row>
    <row r="1914" spans="1:13">
      <c r="A1914" s="59" t="s">
        <v>74</v>
      </c>
      <c r="B1914" s="28" t="s">
        <v>741</v>
      </c>
      <c r="C1914" s="28" t="s">
        <v>148</v>
      </c>
      <c r="D1914" s="28" t="s">
        <v>106</v>
      </c>
      <c r="E1914" s="28" t="s">
        <v>772</v>
      </c>
      <c r="F1914" s="28" t="s">
        <v>75</v>
      </c>
      <c r="G1914" s="35">
        <v>375.5</v>
      </c>
      <c r="H1914" s="35">
        <f>248.3+122.11+5.1</f>
        <v>375.51000000000005</v>
      </c>
      <c r="I1914" s="35">
        <f>180.8+117.51+4.954</f>
        <v>303.26400000000001</v>
      </c>
      <c r="J1914" s="35">
        <f>143.9+83.71+4.954</f>
        <v>232.56400000000002</v>
      </c>
      <c r="K1914" s="35">
        <f>139.786+4.72137+57.6422</f>
        <v>202.14957000000001</v>
      </c>
      <c r="L1914" s="35">
        <f t="shared" si="863"/>
        <v>53.833338659423177</v>
      </c>
      <c r="M1914" s="35">
        <f t="shared" si="864"/>
        <v>66.65795148781261</v>
      </c>
    </row>
    <row r="1915" spans="1:13" ht="76.5">
      <c r="A1915" s="59" t="s">
        <v>367</v>
      </c>
      <c r="B1915" s="28" t="s">
        <v>741</v>
      </c>
      <c r="C1915" s="28" t="s">
        <v>148</v>
      </c>
      <c r="D1915" s="28" t="s">
        <v>106</v>
      </c>
      <c r="E1915" s="28" t="s">
        <v>773</v>
      </c>
      <c r="F1915" s="58" t="s">
        <v>0</v>
      </c>
      <c r="G1915" s="35">
        <f>G1916</f>
        <v>64000</v>
      </c>
      <c r="H1915" s="35">
        <f t="shared" ref="H1915:K1916" si="877">H1916</f>
        <v>30000</v>
      </c>
      <c r="I1915" s="35">
        <f t="shared" si="877"/>
        <v>0</v>
      </c>
      <c r="J1915" s="35">
        <f t="shared" si="877"/>
        <v>0</v>
      </c>
      <c r="K1915" s="35">
        <f t="shared" si="877"/>
        <v>0</v>
      </c>
      <c r="L1915" s="35">
        <f t="shared" si="863"/>
        <v>0</v>
      </c>
      <c r="M1915" s="35">
        <v>0</v>
      </c>
    </row>
    <row r="1916" spans="1:13">
      <c r="A1916" s="59" t="s">
        <v>72</v>
      </c>
      <c r="B1916" s="28" t="s">
        <v>741</v>
      </c>
      <c r="C1916" s="28" t="s">
        <v>148</v>
      </c>
      <c r="D1916" s="28" t="s">
        <v>106</v>
      </c>
      <c r="E1916" s="28" t="s">
        <v>773</v>
      </c>
      <c r="F1916" s="28" t="s">
        <v>73</v>
      </c>
      <c r="G1916" s="35">
        <f>G1917</f>
        <v>64000</v>
      </c>
      <c r="H1916" s="35">
        <f t="shared" si="877"/>
        <v>30000</v>
      </c>
      <c r="I1916" s="35">
        <f t="shared" si="877"/>
        <v>0</v>
      </c>
      <c r="J1916" s="35">
        <f t="shared" si="877"/>
        <v>0</v>
      </c>
      <c r="K1916" s="35">
        <f t="shared" si="877"/>
        <v>0</v>
      </c>
      <c r="L1916" s="35">
        <f t="shared" si="863"/>
        <v>0</v>
      </c>
      <c r="M1916" s="35">
        <v>0</v>
      </c>
    </row>
    <row r="1917" spans="1:13">
      <c r="A1917" s="59" t="s">
        <v>369</v>
      </c>
      <c r="B1917" s="28" t="s">
        <v>741</v>
      </c>
      <c r="C1917" s="28" t="s">
        <v>148</v>
      </c>
      <c r="D1917" s="28" t="s">
        <v>106</v>
      </c>
      <c r="E1917" s="28" t="s">
        <v>773</v>
      </c>
      <c r="F1917" s="28" t="s">
        <v>370</v>
      </c>
      <c r="G1917" s="35">
        <v>64000</v>
      </c>
      <c r="H1917" s="35">
        <v>30000</v>
      </c>
      <c r="I1917" s="35">
        <v>0</v>
      </c>
      <c r="J1917" s="35">
        <v>0</v>
      </c>
      <c r="K1917" s="35">
        <v>0</v>
      </c>
      <c r="L1917" s="35">
        <f t="shared" si="863"/>
        <v>0</v>
      </c>
      <c r="M1917" s="35">
        <v>0</v>
      </c>
    </row>
    <row r="1918" spans="1:13" ht="25.5">
      <c r="A1918" s="59" t="s">
        <v>774</v>
      </c>
      <c r="B1918" s="28" t="s">
        <v>741</v>
      </c>
      <c r="C1918" s="28" t="s">
        <v>148</v>
      </c>
      <c r="D1918" s="28" t="s">
        <v>106</v>
      </c>
      <c r="E1918" s="28" t="s">
        <v>775</v>
      </c>
      <c r="F1918" s="58" t="s">
        <v>0</v>
      </c>
      <c r="G1918" s="35">
        <f>G1919+G1921</f>
        <v>5495.2</v>
      </c>
      <c r="H1918" s="35">
        <f t="shared" ref="H1918:K1918" si="878">H1919+H1921</f>
        <v>5495.2</v>
      </c>
      <c r="I1918" s="35">
        <f t="shared" si="878"/>
        <v>856.86900000000003</v>
      </c>
      <c r="J1918" s="35">
        <f t="shared" si="878"/>
        <v>856.86900000000003</v>
      </c>
      <c r="K1918" s="35">
        <f t="shared" si="878"/>
        <v>566.40612999999996</v>
      </c>
      <c r="L1918" s="35">
        <f t="shared" si="863"/>
        <v>10.307288724705197</v>
      </c>
      <c r="M1918" s="35">
        <f t="shared" si="864"/>
        <v>66.101834702854219</v>
      </c>
    </row>
    <row r="1919" spans="1:13" ht="25.5">
      <c r="A1919" s="59" t="s">
        <v>80</v>
      </c>
      <c r="B1919" s="28" t="s">
        <v>741</v>
      </c>
      <c r="C1919" s="28" t="s">
        <v>148</v>
      </c>
      <c r="D1919" s="28" t="s">
        <v>106</v>
      </c>
      <c r="E1919" s="28" t="s">
        <v>775</v>
      </c>
      <c r="F1919" s="28" t="s">
        <v>81</v>
      </c>
      <c r="G1919" s="35">
        <f>G1920</f>
        <v>5232.8</v>
      </c>
      <c r="H1919" s="35">
        <f t="shared" ref="H1919:K1919" si="879">H1920</f>
        <v>5232.79</v>
      </c>
      <c r="I1919" s="35">
        <f t="shared" si="879"/>
        <v>711.49</v>
      </c>
      <c r="J1919" s="35">
        <f t="shared" si="879"/>
        <v>711.49</v>
      </c>
      <c r="K1919" s="35">
        <f t="shared" si="879"/>
        <v>458.03429999999997</v>
      </c>
      <c r="L1919" s="35">
        <f t="shared" si="863"/>
        <v>8.753156537908076</v>
      </c>
      <c r="M1919" s="35">
        <f t="shared" si="864"/>
        <v>64.376772688302012</v>
      </c>
    </row>
    <row r="1920" spans="1:13" ht="38.25">
      <c r="A1920" s="59" t="s">
        <v>195</v>
      </c>
      <c r="B1920" s="28" t="s">
        <v>741</v>
      </c>
      <c r="C1920" s="28" t="s">
        <v>148</v>
      </c>
      <c r="D1920" s="28" t="s">
        <v>106</v>
      </c>
      <c r="E1920" s="28" t="s">
        <v>775</v>
      </c>
      <c r="F1920" s="28" t="s">
        <v>196</v>
      </c>
      <c r="G1920" s="35">
        <v>5232.8</v>
      </c>
      <c r="H1920" s="35">
        <v>5232.79</v>
      </c>
      <c r="I1920" s="35">
        <v>711.49</v>
      </c>
      <c r="J1920" s="35">
        <v>711.49</v>
      </c>
      <c r="K1920" s="35">
        <v>458.03429999999997</v>
      </c>
      <c r="L1920" s="35">
        <f t="shared" si="863"/>
        <v>8.753156537908076</v>
      </c>
      <c r="M1920" s="35">
        <f t="shared" si="864"/>
        <v>64.376772688302012</v>
      </c>
    </row>
    <row r="1921" spans="1:13">
      <c r="A1921" s="59" t="s">
        <v>72</v>
      </c>
      <c r="B1921" s="28" t="s">
        <v>741</v>
      </c>
      <c r="C1921" s="28" t="s">
        <v>148</v>
      </c>
      <c r="D1921" s="28" t="s">
        <v>106</v>
      </c>
      <c r="E1921" s="28" t="s">
        <v>775</v>
      </c>
      <c r="F1921" s="28" t="s">
        <v>73</v>
      </c>
      <c r="G1921" s="35">
        <f>G1922</f>
        <v>262.39999999999998</v>
      </c>
      <c r="H1921" s="35">
        <f t="shared" ref="H1921:K1921" si="880">H1922</f>
        <v>262.41000000000003</v>
      </c>
      <c r="I1921" s="35">
        <f t="shared" si="880"/>
        <v>145.37899999999999</v>
      </c>
      <c r="J1921" s="35">
        <f t="shared" si="880"/>
        <v>145.37899999999999</v>
      </c>
      <c r="K1921" s="35">
        <f t="shared" si="880"/>
        <v>108.37183</v>
      </c>
      <c r="L1921" s="35">
        <f t="shared" si="863"/>
        <v>41.29866620936702</v>
      </c>
      <c r="M1921" s="35">
        <f t="shared" si="864"/>
        <v>74.54434959657172</v>
      </c>
    </row>
    <row r="1922" spans="1:13" ht="51">
      <c r="A1922" s="59" t="s">
        <v>218</v>
      </c>
      <c r="B1922" s="28" t="s">
        <v>741</v>
      </c>
      <c r="C1922" s="28" t="s">
        <v>148</v>
      </c>
      <c r="D1922" s="28" t="s">
        <v>106</v>
      </c>
      <c r="E1922" s="28" t="s">
        <v>775</v>
      </c>
      <c r="F1922" s="28" t="s">
        <v>219</v>
      </c>
      <c r="G1922" s="35">
        <v>262.39999999999998</v>
      </c>
      <c r="H1922" s="35">
        <v>262.41000000000003</v>
      </c>
      <c r="I1922" s="35">
        <v>145.37899999999999</v>
      </c>
      <c r="J1922" s="35">
        <v>145.37899999999999</v>
      </c>
      <c r="K1922" s="35">
        <v>108.37183</v>
      </c>
      <c r="L1922" s="35">
        <f t="shared" si="863"/>
        <v>41.29866620936702</v>
      </c>
      <c r="M1922" s="35">
        <f t="shared" si="864"/>
        <v>74.54434959657172</v>
      </c>
    </row>
    <row r="1923" spans="1:13" ht="38.25">
      <c r="A1923" s="59" t="s">
        <v>776</v>
      </c>
      <c r="B1923" s="28" t="s">
        <v>741</v>
      </c>
      <c r="C1923" s="28" t="s">
        <v>148</v>
      </c>
      <c r="D1923" s="28" t="s">
        <v>106</v>
      </c>
      <c r="E1923" s="28" t="s">
        <v>777</v>
      </c>
      <c r="F1923" s="58" t="s">
        <v>0</v>
      </c>
      <c r="G1923" s="35">
        <f>G1924</f>
        <v>5190.6000000000004</v>
      </c>
      <c r="H1923" s="35">
        <f t="shared" ref="H1923:K1924" si="881">H1924</f>
        <v>5190.6000000000004</v>
      </c>
      <c r="I1923" s="35">
        <f t="shared" si="881"/>
        <v>3893.33</v>
      </c>
      <c r="J1923" s="35">
        <f t="shared" si="881"/>
        <v>3893.33</v>
      </c>
      <c r="K1923" s="35">
        <f t="shared" si="881"/>
        <v>3893.33</v>
      </c>
      <c r="L1923" s="35">
        <f t="shared" si="863"/>
        <v>75.007320926289822</v>
      </c>
      <c r="M1923" s="35">
        <f t="shared" si="864"/>
        <v>100</v>
      </c>
    </row>
    <row r="1924" spans="1:13" ht="25.5">
      <c r="A1924" s="59" t="s">
        <v>80</v>
      </c>
      <c r="B1924" s="28" t="s">
        <v>741</v>
      </c>
      <c r="C1924" s="28" t="s">
        <v>148</v>
      </c>
      <c r="D1924" s="28" t="s">
        <v>106</v>
      </c>
      <c r="E1924" s="28" t="s">
        <v>777</v>
      </c>
      <c r="F1924" s="28" t="s">
        <v>81</v>
      </c>
      <c r="G1924" s="35">
        <f>G1925</f>
        <v>5190.6000000000004</v>
      </c>
      <c r="H1924" s="35">
        <f t="shared" si="881"/>
        <v>5190.6000000000004</v>
      </c>
      <c r="I1924" s="35">
        <f t="shared" si="881"/>
        <v>3893.33</v>
      </c>
      <c r="J1924" s="35">
        <f t="shared" si="881"/>
        <v>3893.33</v>
      </c>
      <c r="K1924" s="35">
        <f t="shared" si="881"/>
        <v>3893.33</v>
      </c>
      <c r="L1924" s="35">
        <f t="shared" si="863"/>
        <v>75.007320926289822</v>
      </c>
      <c r="M1924" s="35">
        <f t="shared" si="864"/>
        <v>100</v>
      </c>
    </row>
    <row r="1925" spans="1:13">
      <c r="A1925" s="59" t="s">
        <v>271</v>
      </c>
      <c r="B1925" s="28" t="s">
        <v>741</v>
      </c>
      <c r="C1925" s="28" t="s">
        <v>148</v>
      </c>
      <c r="D1925" s="28" t="s">
        <v>106</v>
      </c>
      <c r="E1925" s="28" t="s">
        <v>777</v>
      </c>
      <c r="F1925" s="28" t="s">
        <v>272</v>
      </c>
      <c r="G1925" s="35">
        <v>5190.6000000000004</v>
      </c>
      <c r="H1925" s="35">
        <v>5190.6000000000004</v>
      </c>
      <c r="I1925" s="35">
        <v>3893.33</v>
      </c>
      <c r="J1925" s="35">
        <v>3893.33</v>
      </c>
      <c r="K1925" s="35">
        <v>3893.33</v>
      </c>
      <c r="L1925" s="35">
        <f t="shared" si="863"/>
        <v>75.007320926289822</v>
      </c>
      <c r="M1925" s="35">
        <f t="shared" si="864"/>
        <v>100</v>
      </c>
    </row>
    <row r="1926" spans="1:13" ht="25.5">
      <c r="A1926" s="59" t="s">
        <v>778</v>
      </c>
      <c r="B1926" s="28" t="s">
        <v>741</v>
      </c>
      <c r="C1926" s="28" t="s">
        <v>148</v>
      </c>
      <c r="D1926" s="28" t="s">
        <v>106</v>
      </c>
      <c r="E1926" s="28" t="s">
        <v>779</v>
      </c>
      <c r="F1926" s="58" t="s">
        <v>0</v>
      </c>
      <c r="G1926" s="35">
        <f>G1927</f>
        <v>22466.2</v>
      </c>
      <c r="H1926" s="35">
        <f>H1927</f>
        <v>22466.2</v>
      </c>
      <c r="I1926" s="35">
        <f t="shared" ref="I1926:K1926" si="882">I1927</f>
        <v>17946.2</v>
      </c>
      <c r="J1926" s="35">
        <f t="shared" si="882"/>
        <v>17946.2</v>
      </c>
      <c r="K1926" s="35">
        <f t="shared" si="882"/>
        <v>17946.2</v>
      </c>
      <c r="L1926" s="35">
        <f t="shared" si="863"/>
        <v>79.880887733573104</v>
      </c>
      <c r="M1926" s="35">
        <f t="shared" si="864"/>
        <v>100</v>
      </c>
    </row>
    <row r="1927" spans="1:13" ht="25.5">
      <c r="A1927" s="59" t="s">
        <v>76</v>
      </c>
      <c r="B1927" s="28" t="s">
        <v>741</v>
      </c>
      <c r="C1927" s="28" t="s">
        <v>148</v>
      </c>
      <c r="D1927" s="28" t="s">
        <v>106</v>
      </c>
      <c r="E1927" s="28" t="s">
        <v>780</v>
      </c>
      <c r="F1927" s="58" t="s">
        <v>0</v>
      </c>
      <c r="G1927" s="35">
        <f>G1928</f>
        <v>22466.2</v>
      </c>
      <c r="H1927" s="35">
        <f t="shared" ref="H1927:K1928" si="883">H1928</f>
        <v>22466.2</v>
      </c>
      <c r="I1927" s="35">
        <f t="shared" si="883"/>
        <v>17946.2</v>
      </c>
      <c r="J1927" s="35">
        <f t="shared" si="883"/>
        <v>17946.2</v>
      </c>
      <c r="K1927" s="35">
        <f t="shared" si="883"/>
        <v>17946.2</v>
      </c>
      <c r="L1927" s="35">
        <f t="shared" si="863"/>
        <v>79.880887733573104</v>
      </c>
      <c r="M1927" s="35">
        <f t="shared" si="864"/>
        <v>100</v>
      </c>
    </row>
    <row r="1928" spans="1:13" ht="25.5">
      <c r="A1928" s="59" t="s">
        <v>80</v>
      </c>
      <c r="B1928" s="28" t="s">
        <v>741</v>
      </c>
      <c r="C1928" s="28" t="s">
        <v>148</v>
      </c>
      <c r="D1928" s="28" t="s">
        <v>106</v>
      </c>
      <c r="E1928" s="28" t="s">
        <v>780</v>
      </c>
      <c r="F1928" s="28" t="s">
        <v>81</v>
      </c>
      <c r="G1928" s="35">
        <f>G1929</f>
        <v>22466.2</v>
      </c>
      <c r="H1928" s="35">
        <f t="shared" si="883"/>
        <v>22466.2</v>
      </c>
      <c r="I1928" s="35">
        <f t="shared" si="883"/>
        <v>17946.2</v>
      </c>
      <c r="J1928" s="35">
        <f t="shared" si="883"/>
        <v>17946.2</v>
      </c>
      <c r="K1928" s="35">
        <f t="shared" si="883"/>
        <v>17946.2</v>
      </c>
      <c r="L1928" s="35">
        <f t="shared" si="863"/>
        <v>79.880887733573104</v>
      </c>
      <c r="M1928" s="35">
        <f t="shared" si="864"/>
        <v>100</v>
      </c>
    </row>
    <row r="1929" spans="1:13">
      <c r="A1929" s="59" t="s">
        <v>271</v>
      </c>
      <c r="B1929" s="28" t="s">
        <v>741</v>
      </c>
      <c r="C1929" s="28" t="s">
        <v>148</v>
      </c>
      <c r="D1929" s="28" t="s">
        <v>106</v>
      </c>
      <c r="E1929" s="28" t="s">
        <v>780</v>
      </c>
      <c r="F1929" s="28" t="s">
        <v>272</v>
      </c>
      <c r="G1929" s="35">
        <v>22466.2</v>
      </c>
      <c r="H1929" s="35">
        <v>22466.2</v>
      </c>
      <c r="I1929" s="35">
        <v>17946.2</v>
      </c>
      <c r="J1929" s="35">
        <v>17946.2</v>
      </c>
      <c r="K1929" s="35">
        <v>17946.2</v>
      </c>
      <c r="L1929" s="35">
        <f t="shared" si="863"/>
        <v>79.880887733573104</v>
      </c>
      <c r="M1929" s="35">
        <f t="shared" si="864"/>
        <v>100</v>
      </c>
    </row>
    <row r="1930" spans="1:13" ht="38.25">
      <c r="A1930" s="59" t="s">
        <v>781</v>
      </c>
      <c r="B1930" s="28" t="s">
        <v>741</v>
      </c>
      <c r="C1930" s="28" t="s">
        <v>148</v>
      </c>
      <c r="D1930" s="28" t="s">
        <v>106</v>
      </c>
      <c r="E1930" s="28" t="s">
        <v>782</v>
      </c>
      <c r="F1930" s="58" t="s">
        <v>0</v>
      </c>
      <c r="G1930" s="35">
        <f>G1931</f>
        <v>20582.900000000001</v>
      </c>
      <c r="H1930" s="35">
        <f t="shared" ref="H1930:K1931" si="884">H1931</f>
        <v>20582.900000000001</v>
      </c>
      <c r="I1930" s="35">
        <f t="shared" si="884"/>
        <v>17725.275000000001</v>
      </c>
      <c r="J1930" s="35">
        <f t="shared" si="884"/>
        <v>17725.275000000001</v>
      </c>
      <c r="K1930" s="35">
        <f t="shared" si="884"/>
        <v>17725.275000000001</v>
      </c>
      <c r="L1930" s="35">
        <f t="shared" si="863"/>
        <v>86.116509335419209</v>
      </c>
      <c r="M1930" s="35">
        <f t="shared" si="864"/>
        <v>100</v>
      </c>
    </row>
    <row r="1931" spans="1:13" ht="25.5">
      <c r="A1931" s="59" t="s">
        <v>76</v>
      </c>
      <c r="B1931" s="28" t="s">
        <v>741</v>
      </c>
      <c r="C1931" s="28" t="s">
        <v>148</v>
      </c>
      <c r="D1931" s="28" t="s">
        <v>106</v>
      </c>
      <c r="E1931" s="28" t="s">
        <v>783</v>
      </c>
      <c r="F1931" s="58" t="s">
        <v>0</v>
      </c>
      <c r="G1931" s="35">
        <f>G1932</f>
        <v>20582.900000000001</v>
      </c>
      <c r="H1931" s="35">
        <f t="shared" si="884"/>
        <v>20582.900000000001</v>
      </c>
      <c r="I1931" s="35">
        <f t="shared" si="884"/>
        <v>17725.275000000001</v>
      </c>
      <c r="J1931" s="35">
        <f t="shared" si="884"/>
        <v>17725.275000000001</v>
      </c>
      <c r="K1931" s="35">
        <f t="shared" si="884"/>
        <v>17725.275000000001</v>
      </c>
      <c r="L1931" s="35">
        <f t="shared" si="863"/>
        <v>86.116509335419209</v>
      </c>
      <c r="M1931" s="35">
        <f t="shared" si="864"/>
        <v>100</v>
      </c>
    </row>
    <row r="1932" spans="1:13" ht="25.5">
      <c r="A1932" s="59" t="s">
        <v>80</v>
      </c>
      <c r="B1932" s="28" t="s">
        <v>741</v>
      </c>
      <c r="C1932" s="28" t="s">
        <v>148</v>
      </c>
      <c r="D1932" s="28" t="s">
        <v>106</v>
      </c>
      <c r="E1932" s="28" t="s">
        <v>783</v>
      </c>
      <c r="F1932" s="28" t="s">
        <v>81</v>
      </c>
      <c r="G1932" s="35">
        <f>G1933+G1934</f>
        <v>20582.900000000001</v>
      </c>
      <c r="H1932" s="35">
        <f t="shared" ref="H1932:K1932" si="885">H1933+H1934</f>
        <v>20582.900000000001</v>
      </c>
      <c r="I1932" s="35">
        <f t="shared" si="885"/>
        <v>17725.275000000001</v>
      </c>
      <c r="J1932" s="35">
        <f t="shared" si="885"/>
        <v>17725.275000000001</v>
      </c>
      <c r="K1932" s="35">
        <f t="shared" si="885"/>
        <v>17725.275000000001</v>
      </c>
      <c r="L1932" s="35">
        <f t="shared" si="863"/>
        <v>86.116509335419209</v>
      </c>
      <c r="M1932" s="35">
        <f t="shared" si="864"/>
        <v>100</v>
      </c>
    </row>
    <row r="1933" spans="1:13">
      <c r="A1933" s="59" t="s">
        <v>271</v>
      </c>
      <c r="B1933" s="28" t="s">
        <v>741</v>
      </c>
      <c r="C1933" s="28" t="s">
        <v>148</v>
      </c>
      <c r="D1933" s="28" t="s">
        <v>106</v>
      </c>
      <c r="E1933" s="28" t="s">
        <v>783</v>
      </c>
      <c r="F1933" s="28" t="s">
        <v>272</v>
      </c>
      <c r="G1933" s="35">
        <v>20182.900000000001</v>
      </c>
      <c r="H1933" s="35">
        <v>20182.900000000001</v>
      </c>
      <c r="I1933" s="35">
        <v>17325.275000000001</v>
      </c>
      <c r="J1933" s="35">
        <v>17325.275000000001</v>
      </c>
      <c r="K1933" s="35">
        <v>17325.275000000001</v>
      </c>
      <c r="L1933" s="35">
        <f t="shared" si="863"/>
        <v>85.841355801198048</v>
      </c>
      <c r="M1933" s="35">
        <f t="shared" si="864"/>
        <v>100</v>
      </c>
    </row>
    <row r="1934" spans="1:13">
      <c r="A1934" s="59" t="s">
        <v>82</v>
      </c>
      <c r="B1934" s="28" t="s">
        <v>741</v>
      </c>
      <c r="C1934" s="28" t="s">
        <v>148</v>
      </c>
      <c r="D1934" s="28" t="s">
        <v>106</v>
      </c>
      <c r="E1934" s="28" t="s">
        <v>783</v>
      </c>
      <c r="F1934" s="28" t="s">
        <v>83</v>
      </c>
      <c r="G1934" s="35">
        <v>400</v>
      </c>
      <c r="H1934" s="35">
        <v>400</v>
      </c>
      <c r="I1934" s="35">
        <v>400</v>
      </c>
      <c r="J1934" s="35">
        <v>400</v>
      </c>
      <c r="K1934" s="35">
        <v>400</v>
      </c>
      <c r="L1934" s="35">
        <f t="shared" si="863"/>
        <v>100</v>
      </c>
      <c r="M1934" s="35">
        <f t="shared" si="864"/>
        <v>100</v>
      </c>
    </row>
    <row r="1935" spans="1:13">
      <c r="A1935" s="59" t="s">
        <v>301</v>
      </c>
      <c r="B1935" s="28" t="s">
        <v>741</v>
      </c>
      <c r="C1935" s="28" t="s">
        <v>148</v>
      </c>
      <c r="D1935" s="28" t="s">
        <v>106</v>
      </c>
      <c r="E1935" s="28" t="s">
        <v>302</v>
      </c>
      <c r="F1935" s="58" t="s">
        <v>0</v>
      </c>
      <c r="G1935" s="35">
        <f>G1939</f>
        <v>1107</v>
      </c>
      <c r="H1935" s="35">
        <f>H1939+H1942+H1936</f>
        <v>3871.3</v>
      </c>
      <c r="I1935" s="35">
        <f t="shared" ref="I1935:K1935" si="886">I1939+I1942+I1936</f>
        <v>3871.3</v>
      </c>
      <c r="J1935" s="35">
        <f t="shared" si="886"/>
        <v>3871.3</v>
      </c>
      <c r="K1935" s="35">
        <f t="shared" si="886"/>
        <v>3871.3</v>
      </c>
      <c r="L1935" s="35">
        <f t="shared" si="863"/>
        <v>100</v>
      </c>
      <c r="M1935" s="35">
        <f t="shared" si="864"/>
        <v>100</v>
      </c>
    </row>
    <row r="1936" spans="1:13" s="92" customFormat="1" ht="38.25">
      <c r="A1936" s="62" t="s">
        <v>1257</v>
      </c>
      <c r="B1936" s="28" t="s">
        <v>741</v>
      </c>
      <c r="C1936" s="28" t="s">
        <v>148</v>
      </c>
      <c r="D1936" s="28" t="s">
        <v>106</v>
      </c>
      <c r="E1936" s="29" t="s">
        <v>1256</v>
      </c>
      <c r="F1936" s="58"/>
      <c r="G1936" s="35"/>
      <c r="H1936" s="35">
        <f>H1937</f>
        <v>2764.3</v>
      </c>
      <c r="I1936" s="35">
        <f t="shared" ref="I1936:K1937" si="887">I1937</f>
        <v>2764.3</v>
      </c>
      <c r="J1936" s="35">
        <f t="shared" si="887"/>
        <v>2764.3</v>
      </c>
      <c r="K1936" s="35">
        <f t="shared" si="887"/>
        <v>2764.3</v>
      </c>
      <c r="L1936" s="35">
        <f t="shared" si="863"/>
        <v>100</v>
      </c>
      <c r="M1936" s="35">
        <f t="shared" si="864"/>
        <v>100</v>
      </c>
    </row>
    <row r="1937" spans="1:13" s="92" customFormat="1" ht="25.5">
      <c r="A1937" s="59" t="s">
        <v>80</v>
      </c>
      <c r="B1937" s="28" t="s">
        <v>741</v>
      </c>
      <c r="C1937" s="28" t="s">
        <v>148</v>
      </c>
      <c r="D1937" s="28" t="s">
        <v>106</v>
      </c>
      <c r="E1937" s="29" t="s">
        <v>1256</v>
      </c>
      <c r="F1937" s="28">
        <v>600</v>
      </c>
      <c r="G1937" s="35"/>
      <c r="H1937" s="35">
        <f>H1938</f>
        <v>2764.3</v>
      </c>
      <c r="I1937" s="35">
        <f t="shared" si="887"/>
        <v>2764.3</v>
      </c>
      <c r="J1937" s="35">
        <f t="shared" si="887"/>
        <v>2764.3</v>
      </c>
      <c r="K1937" s="35">
        <f t="shared" si="887"/>
        <v>2764.3</v>
      </c>
      <c r="L1937" s="35">
        <f t="shared" si="863"/>
        <v>100</v>
      </c>
      <c r="M1937" s="35">
        <f t="shared" si="864"/>
        <v>100</v>
      </c>
    </row>
    <row r="1938" spans="1:13" s="92" customFormat="1">
      <c r="A1938" s="59" t="s">
        <v>271</v>
      </c>
      <c r="B1938" s="28" t="s">
        <v>741</v>
      </c>
      <c r="C1938" s="28" t="s">
        <v>148</v>
      </c>
      <c r="D1938" s="28" t="s">
        <v>106</v>
      </c>
      <c r="E1938" s="29" t="s">
        <v>1256</v>
      </c>
      <c r="F1938" s="28">
        <v>610</v>
      </c>
      <c r="G1938" s="35"/>
      <c r="H1938" s="35">
        <v>2764.3</v>
      </c>
      <c r="I1938" s="35">
        <v>2764.3</v>
      </c>
      <c r="J1938" s="35">
        <v>2764.3</v>
      </c>
      <c r="K1938" s="35">
        <v>2764.3</v>
      </c>
      <c r="L1938" s="35">
        <f t="shared" si="863"/>
        <v>100</v>
      </c>
      <c r="M1938" s="35">
        <f t="shared" si="864"/>
        <v>100</v>
      </c>
    </row>
    <row r="1939" spans="1:13" ht="25.5">
      <c r="A1939" s="59" t="s">
        <v>76</v>
      </c>
      <c r="B1939" s="28" t="s">
        <v>741</v>
      </c>
      <c r="C1939" s="28" t="s">
        <v>148</v>
      </c>
      <c r="D1939" s="28" t="s">
        <v>106</v>
      </c>
      <c r="E1939" s="28" t="s">
        <v>356</v>
      </c>
      <c r="F1939" s="58" t="s">
        <v>0</v>
      </c>
      <c r="G1939" s="35">
        <f>G1940</f>
        <v>1107</v>
      </c>
      <c r="H1939" s="35">
        <f t="shared" ref="H1939:K1940" si="888">H1940</f>
        <v>125</v>
      </c>
      <c r="I1939" s="35">
        <f t="shared" si="888"/>
        <v>125</v>
      </c>
      <c r="J1939" s="35">
        <f t="shared" si="888"/>
        <v>125</v>
      </c>
      <c r="K1939" s="35">
        <f t="shared" si="888"/>
        <v>125</v>
      </c>
      <c r="L1939" s="35">
        <f t="shared" si="863"/>
        <v>100</v>
      </c>
      <c r="M1939" s="35">
        <f t="shared" si="864"/>
        <v>100</v>
      </c>
    </row>
    <row r="1940" spans="1:13" ht="25.5">
      <c r="A1940" s="59" t="s">
        <v>80</v>
      </c>
      <c r="B1940" s="28" t="s">
        <v>741</v>
      </c>
      <c r="C1940" s="28" t="s">
        <v>148</v>
      </c>
      <c r="D1940" s="28" t="s">
        <v>106</v>
      </c>
      <c r="E1940" s="28" t="s">
        <v>356</v>
      </c>
      <c r="F1940" s="28" t="s">
        <v>81</v>
      </c>
      <c r="G1940" s="35">
        <f>G1941</f>
        <v>1107</v>
      </c>
      <c r="H1940" s="35">
        <f t="shared" si="888"/>
        <v>125</v>
      </c>
      <c r="I1940" s="35">
        <f t="shared" si="888"/>
        <v>125</v>
      </c>
      <c r="J1940" s="35">
        <f t="shared" si="888"/>
        <v>125</v>
      </c>
      <c r="K1940" s="35">
        <f t="shared" si="888"/>
        <v>125</v>
      </c>
      <c r="L1940" s="35">
        <f t="shared" si="863"/>
        <v>100</v>
      </c>
      <c r="M1940" s="35">
        <f t="shared" si="864"/>
        <v>100</v>
      </c>
    </row>
    <row r="1941" spans="1:13">
      <c r="A1941" s="59" t="s">
        <v>271</v>
      </c>
      <c r="B1941" s="28" t="s">
        <v>741</v>
      </c>
      <c r="C1941" s="28" t="s">
        <v>148</v>
      </c>
      <c r="D1941" s="28" t="s">
        <v>106</v>
      </c>
      <c r="E1941" s="28" t="s">
        <v>356</v>
      </c>
      <c r="F1941" s="28" t="s">
        <v>272</v>
      </c>
      <c r="G1941" s="35">
        <v>1107</v>
      </c>
      <c r="H1941" s="35">
        <v>125</v>
      </c>
      <c r="I1941" s="35">
        <v>125</v>
      </c>
      <c r="J1941" s="35">
        <v>125</v>
      </c>
      <c r="K1941" s="35">
        <v>125</v>
      </c>
      <c r="L1941" s="35">
        <f t="shared" si="863"/>
        <v>100</v>
      </c>
      <c r="M1941" s="35">
        <f t="shared" si="864"/>
        <v>100</v>
      </c>
    </row>
    <row r="1942" spans="1:13" ht="41.25" customHeight="1">
      <c r="A1942" s="59" t="s">
        <v>1116</v>
      </c>
      <c r="B1942" s="28" t="s">
        <v>741</v>
      </c>
      <c r="C1942" s="28" t="s">
        <v>148</v>
      </c>
      <c r="D1942" s="28" t="s">
        <v>106</v>
      </c>
      <c r="E1942" s="29" t="s">
        <v>1115</v>
      </c>
      <c r="F1942" s="28"/>
      <c r="G1942" s="35"/>
      <c r="H1942" s="35">
        <f>H1943</f>
        <v>982</v>
      </c>
      <c r="I1942" s="35">
        <f t="shared" ref="I1942:K1943" si="889">I1943</f>
        <v>982</v>
      </c>
      <c r="J1942" s="35">
        <f t="shared" si="889"/>
        <v>982</v>
      </c>
      <c r="K1942" s="35">
        <f t="shared" si="889"/>
        <v>982</v>
      </c>
      <c r="L1942" s="35">
        <f t="shared" si="863"/>
        <v>100</v>
      </c>
      <c r="M1942" s="35">
        <f t="shared" si="864"/>
        <v>100</v>
      </c>
    </row>
    <row r="1943" spans="1:13" ht="25.5">
      <c r="A1943" s="59" t="s">
        <v>80</v>
      </c>
      <c r="B1943" s="28" t="s">
        <v>741</v>
      </c>
      <c r="C1943" s="28" t="s">
        <v>148</v>
      </c>
      <c r="D1943" s="28" t="s">
        <v>106</v>
      </c>
      <c r="E1943" s="29" t="s">
        <v>1115</v>
      </c>
      <c r="F1943" s="28">
        <v>600</v>
      </c>
      <c r="G1943" s="35"/>
      <c r="H1943" s="35">
        <f>H1944</f>
        <v>982</v>
      </c>
      <c r="I1943" s="35">
        <f t="shared" si="889"/>
        <v>982</v>
      </c>
      <c r="J1943" s="35">
        <f t="shared" si="889"/>
        <v>982</v>
      </c>
      <c r="K1943" s="35">
        <f t="shared" si="889"/>
        <v>982</v>
      </c>
      <c r="L1943" s="35">
        <f t="shared" si="863"/>
        <v>100</v>
      </c>
      <c r="M1943" s="35">
        <f t="shared" si="864"/>
        <v>100</v>
      </c>
    </row>
    <row r="1944" spans="1:13">
      <c r="A1944" s="59" t="s">
        <v>271</v>
      </c>
      <c r="B1944" s="28" t="s">
        <v>741</v>
      </c>
      <c r="C1944" s="28" t="s">
        <v>148</v>
      </c>
      <c r="D1944" s="28" t="s">
        <v>106</v>
      </c>
      <c r="E1944" s="29" t="s">
        <v>1115</v>
      </c>
      <c r="F1944" s="28">
        <v>610</v>
      </c>
      <c r="G1944" s="35"/>
      <c r="H1944" s="35">
        <v>982</v>
      </c>
      <c r="I1944" s="35">
        <v>982</v>
      </c>
      <c r="J1944" s="35">
        <v>982</v>
      </c>
      <c r="K1944" s="35">
        <v>982</v>
      </c>
      <c r="L1944" s="35">
        <f t="shared" si="863"/>
        <v>100</v>
      </c>
      <c r="M1944" s="35">
        <f t="shared" si="864"/>
        <v>100</v>
      </c>
    </row>
    <row r="1945" spans="1:13">
      <c r="A1945" s="59" t="s">
        <v>440</v>
      </c>
      <c r="B1945" s="28" t="s">
        <v>741</v>
      </c>
      <c r="C1945" s="28" t="s">
        <v>148</v>
      </c>
      <c r="D1945" s="28" t="s">
        <v>106</v>
      </c>
      <c r="E1945" s="28" t="s">
        <v>441</v>
      </c>
      <c r="F1945" s="58" t="s">
        <v>0</v>
      </c>
      <c r="G1945" s="35">
        <f>G1946</f>
        <v>19006</v>
      </c>
      <c r="H1945" s="35">
        <f t="shared" ref="H1945:K1947" si="890">H1946</f>
        <v>20896</v>
      </c>
      <c r="I1945" s="35">
        <f t="shared" si="890"/>
        <v>18033.054</v>
      </c>
      <c r="J1945" s="35">
        <f t="shared" si="890"/>
        <v>18033.054</v>
      </c>
      <c r="K1945" s="35">
        <f t="shared" si="890"/>
        <v>18033.054</v>
      </c>
      <c r="L1945" s="35">
        <f t="shared" si="863"/>
        <v>86.299071592649312</v>
      </c>
      <c r="M1945" s="35">
        <f t="shared" si="864"/>
        <v>100</v>
      </c>
    </row>
    <row r="1946" spans="1:13" ht="25.5">
      <c r="A1946" s="59" t="s">
        <v>76</v>
      </c>
      <c r="B1946" s="28" t="s">
        <v>741</v>
      </c>
      <c r="C1946" s="28" t="s">
        <v>148</v>
      </c>
      <c r="D1946" s="28" t="s">
        <v>106</v>
      </c>
      <c r="E1946" s="28" t="s">
        <v>784</v>
      </c>
      <c r="F1946" s="58" t="s">
        <v>0</v>
      </c>
      <c r="G1946" s="35">
        <f>G1947</f>
        <v>19006</v>
      </c>
      <c r="H1946" s="35">
        <f t="shared" si="890"/>
        <v>20896</v>
      </c>
      <c r="I1946" s="35">
        <f t="shared" si="890"/>
        <v>18033.054</v>
      </c>
      <c r="J1946" s="35">
        <f t="shared" si="890"/>
        <v>18033.054</v>
      </c>
      <c r="K1946" s="35">
        <f t="shared" si="890"/>
        <v>18033.054</v>
      </c>
      <c r="L1946" s="35">
        <f t="shared" si="863"/>
        <v>86.299071592649312</v>
      </c>
      <c r="M1946" s="35">
        <f t="shared" si="864"/>
        <v>100</v>
      </c>
    </row>
    <row r="1947" spans="1:13" ht="25.5">
      <c r="A1947" s="59" t="s">
        <v>80</v>
      </c>
      <c r="B1947" s="28" t="s">
        <v>741</v>
      </c>
      <c r="C1947" s="28" t="s">
        <v>148</v>
      </c>
      <c r="D1947" s="28" t="s">
        <v>106</v>
      </c>
      <c r="E1947" s="28" t="s">
        <v>784</v>
      </c>
      <c r="F1947" s="28" t="s">
        <v>81</v>
      </c>
      <c r="G1947" s="35">
        <f>G1948</f>
        <v>19006</v>
      </c>
      <c r="H1947" s="35">
        <f t="shared" si="890"/>
        <v>20896</v>
      </c>
      <c r="I1947" s="35">
        <f t="shared" si="890"/>
        <v>18033.054</v>
      </c>
      <c r="J1947" s="35">
        <f t="shared" si="890"/>
        <v>18033.054</v>
      </c>
      <c r="K1947" s="35">
        <f t="shared" si="890"/>
        <v>18033.054</v>
      </c>
      <c r="L1947" s="35">
        <f t="shared" si="863"/>
        <v>86.299071592649312</v>
      </c>
      <c r="M1947" s="35">
        <f t="shared" si="864"/>
        <v>100</v>
      </c>
    </row>
    <row r="1948" spans="1:13">
      <c r="A1948" s="59" t="s">
        <v>271</v>
      </c>
      <c r="B1948" s="28" t="s">
        <v>741</v>
      </c>
      <c r="C1948" s="28" t="s">
        <v>148</v>
      </c>
      <c r="D1948" s="28" t="s">
        <v>106</v>
      </c>
      <c r="E1948" s="28" t="s">
        <v>784</v>
      </c>
      <c r="F1948" s="28" t="s">
        <v>272</v>
      </c>
      <c r="G1948" s="35">
        <v>19006</v>
      </c>
      <c r="H1948" s="35">
        <v>20896</v>
      </c>
      <c r="I1948" s="35">
        <v>18033.054</v>
      </c>
      <c r="J1948" s="35">
        <v>18033.054</v>
      </c>
      <c r="K1948" s="35">
        <v>18033.054</v>
      </c>
      <c r="L1948" s="35">
        <f t="shared" si="863"/>
        <v>86.299071592649312</v>
      </c>
      <c r="M1948" s="35">
        <f t="shared" si="864"/>
        <v>100</v>
      </c>
    </row>
    <row r="1949" spans="1:13" s="88" customFormat="1" ht="100.5" customHeight="1">
      <c r="A1949" s="62" t="s">
        <v>1248</v>
      </c>
      <c r="B1949" s="28" t="s">
        <v>741</v>
      </c>
      <c r="C1949" s="28" t="s">
        <v>148</v>
      </c>
      <c r="D1949" s="28" t="s">
        <v>106</v>
      </c>
      <c r="E1949" s="29" t="s">
        <v>1245</v>
      </c>
      <c r="F1949" s="28"/>
      <c r="G1949" s="35">
        <f>G1950+G1953</f>
        <v>2907</v>
      </c>
      <c r="H1949" s="35">
        <f t="shared" ref="H1949:K1949" si="891">H1950+H1953</f>
        <v>2907</v>
      </c>
      <c r="I1949" s="35">
        <f t="shared" si="891"/>
        <v>2907</v>
      </c>
      <c r="J1949" s="35">
        <f t="shared" si="891"/>
        <v>2907</v>
      </c>
      <c r="K1949" s="35">
        <f t="shared" si="891"/>
        <v>2907</v>
      </c>
      <c r="L1949" s="35">
        <f t="shared" si="863"/>
        <v>100</v>
      </c>
      <c r="M1949" s="35">
        <f t="shared" si="864"/>
        <v>100</v>
      </c>
    </row>
    <row r="1950" spans="1:13" s="88" customFormat="1" ht="28.5" customHeight="1">
      <c r="A1950" s="59" t="s">
        <v>76</v>
      </c>
      <c r="B1950" s="28" t="s">
        <v>741</v>
      </c>
      <c r="C1950" s="28" t="s">
        <v>148</v>
      </c>
      <c r="D1950" s="28" t="s">
        <v>106</v>
      </c>
      <c r="E1950" s="29" t="s">
        <v>1246</v>
      </c>
      <c r="F1950" s="28"/>
      <c r="G1950" s="35">
        <f>G1951</f>
        <v>2834.8</v>
      </c>
      <c r="H1950" s="35">
        <f t="shared" ref="H1950:K1951" si="892">H1951</f>
        <v>2834.8</v>
      </c>
      <c r="I1950" s="35">
        <f t="shared" si="892"/>
        <v>2834.8</v>
      </c>
      <c r="J1950" s="35">
        <f t="shared" si="892"/>
        <v>2834.8</v>
      </c>
      <c r="K1950" s="35">
        <f t="shared" si="892"/>
        <v>2834.8</v>
      </c>
      <c r="L1950" s="35">
        <f t="shared" si="863"/>
        <v>100</v>
      </c>
      <c r="M1950" s="35">
        <f t="shared" si="864"/>
        <v>100</v>
      </c>
    </row>
    <row r="1951" spans="1:13" s="88" customFormat="1" ht="25.5">
      <c r="A1951" s="59" t="s">
        <v>80</v>
      </c>
      <c r="B1951" s="28" t="s">
        <v>741</v>
      </c>
      <c r="C1951" s="28" t="s">
        <v>148</v>
      </c>
      <c r="D1951" s="28" t="s">
        <v>106</v>
      </c>
      <c r="E1951" s="29" t="s">
        <v>1246</v>
      </c>
      <c r="F1951" s="28">
        <v>600</v>
      </c>
      <c r="G1951" s="35">
        <f>G1952</f>
        <v>2834.8</v>
      </c>
      <c r="H1951" s="35">
        <f t="shared" si="892"/>
        <v>2834.8</v>
      </c>
      <c r="I1951" s="35">
        <f t="shared" si="892"/>
        <v>2834.8</v>
      </c>
      <c r="J1951" s="35">
        <f t="shared" si="892"/>
        <v>2834.8</v>
      </c>
      <c r="K1951" s="35">
        <f t="shared" si="892"/>
        <v>2834.8</v>
      </c>
      <c r="L1951" s="35">
        <f t="shared" si="863"/>
        <v>100</v>
      </c>
      <c r="M1951" s="35">
        <f t="shared" si="864"/>
        <v>100</v>
      </c>
    </row>
    <row r="1952" spans="1:13" s="88" customFormat="1">
      <c r="A1952" s="59" t="s">
        <v>271</v>
      </c>
      <c r="B1952" s="28" t="s">
        <v>741</v>
      </c>
      <c r="C1952" s="28" t="s">
        <v>148</v>
      </c>
      <c r="D1952" s="28" t="s">
        <v>106</v>
      </c>
      <c r="E1952" s="29" t="s">
        <v>1246</v>
      </c>
      <c r="F1952" s="28">
        <v>610</v>
      </c>
      <c r="G1952" s="35">
        <v>2834.8</v>
      </c>
      <c r="H1952" s="35">
        <v>2834.8</v>
      </c>
      <c r="I1952" s="35">
        <v>2834.8</v>
      </c>
      <c r="J1952" s="35">
        <v>2834.8</v>
      </c>
      <c r="K1952" s="35">
        <v>2834.8</v>
      </c>
      <c r="L1952" s="35">
        <f t="shared" si="863"/>
        <v>100</v>
      </c>
      <c r="M1952" s="35">
        <f t="shared" si="864"/>
        <v>100</v>
      </c>
    </row>
    <row r="1953" spans="1:13" s="88" customFormat="1" ht="30.75" customHeight="1">
      <c r="A1953" s="59" t="s">
        <v>1249</v>
      </c>
      <c r="B1953" s="28" t="s">
        <v>741</v>
      </c>
      <c r="C1953" s="28" t="s">
        <v>148</v>
      </c>
      <c r="D1953" s="28" t="s">
        <v>106</v>
      </c>
      <c r="E1953" s="29" t="s">
        <v>1247</v>
      </c>
      <c r="F1953" s="28"/>
      <c r="G1953" s="35">
        <f>G1954</f>
        <v>72.2</v>
      </c>
      <c r="H1953" s="35">
        <f t="shared" ref="H1953:K1954" si="893">H1954</f>
        <v>72.2</v>
      </c>
      <c r="I1953" s="35">
        <f t="shared" si="893"/>
        <v>72.2</v>
      </c>
      <c r="J1953" s="35">
        <f t="shared" si="893"/>
        <v>72.2</v>
      </c>
      <c r="K1953" s="35">
        <f t="shared" si="893"/>
        <v>72.2</v>
      </c>
      <c r="L1953" s="35">
        <f t="shared" si="863"/>
        <v>100</v>
      </c>
      <c r="M1953" s="35">
        <f t="shared" si="864"/>
        <v>100</v>
      </c>
    </row>
    <row r="1954" spans="1:13" s="88" customFormat="1" ht="25.5">
      <c r="A1954" s="59" t="s">
        <v>80</v>
      </c>
      <c r="B1954" s="28" t="s">
        <v>741</v>
      </c>
      <c r="C1954" s="28" t="s">
        <v>148</v>
      </c>
      <c r="D1954" s="28" t="s">
        <v>106</v>
      </c>
      <c r="E1954" s="29" t="s">
        <v>1247</v>
      </c>
      <c r="F1954" s="28">
        <v>600</v>
      </c>
      <c r="G1954" s="35">
        <f>G1955</f>
        <v>72.2</v>
      </c>
      <c r="H1954" s="35">
        <f t="shared" si="893"/>
        <v>72.2</v>
      </c>
      <c r="I1954" s="35">
        <f t="shared" si="893"/>
        <v>72.2</v>
      </c>
      <c r="J1954" s="35">
        <f t="shared" si="893"/>
        <v>72.2</v>
      </c>
      <c r="K1954" s="35">
        <f t="shared" si="893"/>
        <v>72.2</v>
      </c>
      <c r="L1954" s="35">
        <f t="shared" si="863"/>
        <v>100</v>
      </c>
      <c r="M1954" s="35">
        <f t="shared" si="864"/>
        <v>100</v>
      </c>
    </row>
    <row r="1955" spans="1:13" s="88" customFormat="1">
      <c r="A1955" s="59" t="s">
        <v>271</v>
      </c>
      <c r="B1955" s="28" t="s">
        <v>741</v>
      </c>
      <c r="C1955" s="28" t="s">
        <v>148</v>
      </c>
      <c r="D1955" s="28" t="s">
        <v>106</v>
      </c>
      <c r="E1955" s="29" t="s">
        <v>1247</v>
      </c>
      <c r="F1955" s="28">
        <v>610</v>
      </c>
      <c r="G1955" s="35">
        <v>72.2</v>
      </c>
      <c r="H1955" s="35">
        <v>72.2</v>
      </c>
      <c r="I1955" s="35">
        <v>72.2</v>
      </c>
      <c r="J1955" s="35">
        <v>72.2</v>
      </c>
      <c r="K1955" s="35">
        <v>72.2</v>
      </c>
      <c r="L1955" s="35">
        <f t="shared" ref="L1955:L2018" si="894">K1955/H1955*100</f>
        <v>100</v>
      </c>
      <c r="M1955" s="35">
        <f t="shared" ref="M1955:M2018" si="895">K1955/I1955*100</f>
        <v>100</v>
      </c>
    </row>
    <row r="1956" spans="1:13" s="92" customFormat="1" ht="27.75" customHeight="1">
      <c r="A1956" s="62" t="s">
        <v>612</v>
      </c>
      <c r="B1956" s="28" t="s">
        <v>741</v>
      </c>
      <c r="C1956" s="28" t="s">
        <v>148</v>
      </c>
      <c r="D1956" s="28" t="s">
        <v>106</v>
      </c>
      <c r="E1956" s="29" t="s">
        <v>613</v>
      </c>
      <c r="F1956" s="28"/>
      <c r="G1956" s="35"/>
      <c r="H1956" s="35">
        <f>H1957</f>
        <v>110.59099999999999</v>
      </c>
      <c r="I1956" s="35">
        <f t="shared" ref="I1956:K1958" si="896">I1957</f>
        <v>110.59099999999999</v>
      </c>
      <c r="J1956" s="35">
        <f t="shared" si="896"/>
        <v>110.59099999999999</v>
      </c>
      <c r="K1956" s="35">
        <f t="shared" si="896"/>
        <v>110.59099999999999</v>
      </c>
      <c r="L1956" s="35">
        <f t="shared" si="894"/>
        <v>100</v>
      </c>
      <c r="M1956" s="35">
        <f t="shared" si="895"/>
        <v>100</v>
      </c>
    </row>
    <row r="1957" spans="1:13" s="92" customFormat="1" ht="27.75" customHeight="1">
      <c r="A1957" s="62" t="s">
        <v>612</v>
      </c>
      <c r="B1957" s="28" t="s">
        <v>741</v>
      </c>
      <c r="C1957" s="28" t="s">
        <v>148</v>
      </c>
      <c r="D1957" s="28" t="s">
        <v>106</v>
      </c>
      <c r="E1957" s="29" t="s">
        <v>614</v>
      </c>
      <c r="F1957" s="28"/>
      <c r="G1957" s="35"/>
      <c r="H1957" s="35">
        <f>H1958</f>
        <v>110.59099999999999</v>
      </c>
      <c r="I1957" s="35">
        <f t="shared" si="896"/>
        <v>110.59099999999999</v>
      </c>
      <c r="J1957" s="35">
        <f t="shared" si="896"/>
        <v>110.59099999999999</v>
      </c>
      <c r="K1957" s="35">
        <f t="shared" si="896"/>
        <v>110.59099999999999</v>
      </c>
      <c r="L1957" s="35">
        <f t="shared" si="894"/>
        <v>100</v>
      </c>
      <c r="M1957" s="35">
        <f t="shared" si="895"/>
        <v>100</v>
      </c>
    </row>
    <row r="1958" spans="1:13" s="92" customFormat="1" ht="25.5">
      <c r="A1958" s="59" t="s">
        <v>80</v>
      </c>
      <c r="B1958" s="28" t="s">
        <v>741</v>
      </c>
      <c r="C1958" s="28" t="s">
        <v>148</v>
      </c>
      <c r="D1958" s="28" t="s">
        <v>106</v>
      </c>
      <c r="E1958" s="29" t="s">
        <v>614</v>
      </c>
      <c r="F1958" s="28">
        <v>600</v>
      </c>
      <c r="G1958" s="35"/>
      <c r="H1958" s="35">
        <f>H1959</f>
        <v>110.59099999999999</v>
      </c>
      <c r="I1958" s="35">
        <f t="shared" si="896"/>
        <v>110.59099999999999</v>
      </c>
      <c r="J1958" s="35">
        <f t="shared" si="896"/>
        <v>110.59099999999999</v>
      </c>
      <c r="K1958" s="35">
        <f t="shared" si="896"/>
        <v>110.59099999999999</v>
      </c>
      <c r="L1958" s="35">
        <f t="shared" si="894"/>
        <v>100</v>
      </c>
      <c r="M1958" s="35">
        <f t="shared" si="895"/>
        <v>100</v>
      </c>
    </row>
    <row r="1959" spans="1:13" s="92" customFormat="1">
      <c r="A1959" s="59" t="s">
        <v>271</v>
      </c>
      <c r="B1959" s="28" t="s">
        <v>741</v>
      </c>
      <c r="C1959" s="28" t="s">
        <v>148</v>
      </c>
      <c r="D1959" s="28" t="s">
        <v>106</v>
      </c>
      <c r="E1959" s="29" t="s">
        <v>614</v>
      </c>
      <c r="F1959" s="28">
        <v>610</v>
      </c>
      <c r="G1959" s="35"/>
      <c r="H1959" s="35">
        <v>110.59099999999999</v>
      </c>
      <c r="I1959" s="35">
        <v>110.59099999999999</v>
      </c>
      <c r="J1959" s="35">
        <v>110.59099999999999</v>
      </c>
      <c r="K1959" s="35">
        <v>110.59099999999999</v>
      </c>
      <c r="L1959" s="35">
        <f t="shared" si="894"/>
        <v>100</v>
      </c>
      <c r="M1959" s="35">
        <f t="shared" si="895"/>
        <v>100</v>
      </c>
    </row>
    <row r="1960" spans="1:13" s="88" customFormat="1" hidden="1">
      <c r="A1960" s="59"/>
      <c r="B1960" s="28"/>
      <c r="C1960" s="28"/>
      <c r="D1960" s="28"/>
      <c r="E1960" s="28"/>
      <c r="F1960" s="28"/>
      <c r="G1960" s="35"/>
      <c r="H1960" s="35"/>
      <c r="I1960" s="35"/>
      <c r="J1960" s="35"/>
      <c r="K1960" s="35"/>
      <c r="L1960" s="35" t="e">
        <f t="shared" si="894"/>
        <v>#DIV/0!</v>
      </c>
      <c r="M1960" s="35" t="e">
        <f t="shared" si="895"/>
        <v>#DIV/0!</v>
      </c>
    </row>
    <row r="1961" spans="1:13">
      <c r="A1961" s="59" t="s">
        <v>149</v>
      </c>
      <c r="B1961" s="28" t="s">
        <v>741</v>
      </c>
      <c r="C1961" s="28" t="s">
        <v>148</v>
      </c>
      <c r="D1961" s="28" t="s">
        <v>150</v>
      </c>
      <c r="E1961" s="58" t="s">
        <v>0</v>
      </c>
      <c r="F1961" s="58" t="s">
        <v>0</v>
      </c>
      <c r="G1961" s="35">
        <f>G1962+G2123+G2128</f>
        <v>6883833.1999999993</v>
      </c>
      <c r="H1961" s="35">
        <f>H1962+H2123+H2128+H2136</f>
        <v>6884856.3287499994</v>
      </c>
      <c r="I1961" s="35">
        <f t="shared" ref="I1961:K1961" si="897">I1962+I2123+I2128+I2136</f>
        <v>5294127.8107400006</v>
      </c>
      <c r="J1961" s="35">
        <f t="shared" si="897"/>
        <v>5293836.5601700004</v>
      </c>
      <c r="K1961" s="35">
        <f t="shared" si="897"/>
        <v>5288997.2183599984</v>
      </c>
      <c r="L1961" s="35">
        <f t="shared" si="894"/>
        <v>76.820734751922672</v>
      </c>
      <c r="M1961" s="35">
        <f t="shared" si="895"/>
        <v>99.903088996650325</v>
      </c>
    </row>
    <row r="1962" spans="1:13" ht="38.25">
      <c r="A1962" s="59" t="s">
        <v>299</v>
      </c>
      <c r="B1962" s="28" t="s">
        <v>741</v>
      </c>
      <c r="C1962" s="28" t="s">
        <v>148</v>
      </c>
      <c r="D1962" s="28" t="s">
        <v>150</v>
      </c>
      <c r="E1962" s="28" t="s">
        <v>300</v>
      </c>
      <c r="F1962" s="58" t="s">
        <v>0</v>
      </c>
      <c r="G1962" s="35">
        <f>G1963+G2117</f>
        <v>6483270.3999999994</v>
      </c>
      <c r="H1962" s="35">
        <f t="shared" ref="H1962:K1962" si="898">H1963+H2117</f>
        <v>6483888.2307499992</v>
      </c>
      <c r="I1962" s="35">
        <f t="shared" si="898"/>
        <v>4976773.72267</v>
      </c>
      <c r="J1962" s="35">
        <f t="shared" si="898"/>
        <v>4976482.4720999999</v>
      </c>
      <c r="K1962" s="35">
        <f t="shared" si="898"/>
        <v>4973048.599109998</v>
      </c>
      <c r="L1962" s="35">
        <f t="shared" si="894"/>
        <v>76.698555282387389</v>
      </c>
      <c r="M1962" s="35">
        <f t="shared" si="895"/>
        <v>99.925149830641615</v>
      </c>
    </row>
    <row r="1963" spans="1:13" ht="38.25">
      <c r="A1963" s="59" t="s">
        <v>765</v>
      </c>
      <c r="B1963" s="28" t="s">
        <v>741</v>
      </c>
      <c r="C1963" s="28" t="s">
        <v>148</v>
      </c>
      <c r="D1963" s="28" t="s">
        <v>150</v>
      </c>
      <c r="E1963" s="28" t="s">
        <v>766</v>
      </c>
      <c r="F1963" s="58" t="s">
        <v>0</v>
      </c>
      <c r="G1963" s="35">
        <f>G1964+G1967+G1970+G1975+G1980+G1985+G1990+G1995+G2000+G2003+G2008+G2013+G2018+G2023+G2026+G2031+G2036+G2041+G2046+G2051+G2056+G2061+G2066+G2071+G2076+G2081+G2086+G2091+G2096+G2101+G2106+G2111+G2114</f>
        <v>6471835.5999999996</v>
      </c>
      <c r="H1963" s="35">
        <f t="shared" ref="H1963:K1963" si="899">H1964+H1967+H1970+H1975+H1980+H1985+H1990+H1995+H2000+H2003+H2008+H2013+H2018+H2023+H2026+H2031+H2036+H2041+H2046+H2051+H2056+H2061+H2066+H2071+H2076+H2081+H2086+H2091+H2096+H2101+H2106+H2111+H2114</f>
        <v>6472453.4407499991</v>
      </c>
      <c r="I1963" s="35">
        <f t="shared" si="899"/>
        <v>4969135.5636499999</v>
      </c>
      <c r="J1963" s="35">
        <f t="shared" si="899"/>
        <v>4968844.3130799998</v>
      </c>
      <c r="K1963" s="35">
        <f t="shared" si="899"/>
        <v>4965410.4400899978</v>
      </c>
      <c r="L1963" s="35">
        <f t="shared" si="894"/>
        <v>76.716047253862172</v>
      </c>
      <c r="M1963" s="35">
        <f t="shared" si="895"/>
        <v>99.925034776928769</v>
      </c>
    </row>
    <row r="1964" spans="1:13" ht="89.25">
      <c r="A1964" s="59" t="s">
        <v>785</v>
      </c>
      <c r="B1964" s="28" t="s">
        <v>741</v>
      </c>
      <c r="C1964" s="28" t="s">
        <v>148</v>
      </c>
      <c r="D1964" s="28" t="s">
        <v>150</v>
      </c>
      <c r="E1964" s="28" t="s">
        <v>786</v>
      </c>
      <c r="F1964" s="58" t="s">
        <v>0</v>
      </c>
      <c r="G1964" s="35">
        <f>G1965</f>
        <v>7391.3</v>
      </c>
      <c r="H1964" s="35">
        <f t="shared" ref="H1964:K1965" si="900">H1965</f>
        <v>7391.3</v>
      </c>
      <c r="I1964" s="35">
        <f t="shared" si="900"/>
        <v>7391.3</v>
      </c>
      <c r="J1964" s="35">
        <f t="shared" si="900"/>
        <v>7391.3</v>
      </c>
      <c r="K1964" s="35">
        <f t="shared" si="900"/>
        <v>7391.3</v>
      </c>
      <c r="L1964" s="35">
        <f t="shared" si="894"/>
        <v>100</v>
      </c>
      <c r="M1964" s="35">
        <f t="shared" si="895"/>
        <v>100</v>
      </c>
    </row>
    <row r="1965" spans="1:13">
      <c r="A1965" s="59" t="s">
        <v>68</v>
      </c>
      <c r="B1965" s="28" t="s">
        <v>741</v>
      </c>
      <c r="C1965" s="28" t="s">
        <v>148</v>
      </c>
      <c r="D1965" s="28" t="s">
        <v>150</v>
      </c>
      <c r="E1965" s="28" t="s">
        <v>786</v>
      </c>
      <c r="F1965" s="28" t="s">
        <v>69</v>
      </c>
      <c r="G1965" s="35">
        <f>G1966</f>
        <v>7391.3</v>
      </c>
      <c r="H1965" s="35">
        <f t="shared" si="900"/>
        <v>7391.3</v>
      </c>
      <c r="I1965" s="35">
        <f t="shared" si="900"/>
        <v>7391.3</v>
      </c>
      <c r="J1965" s="35">
        <f t="shared" si="900"/>
        <v>7391.3</v>
      </c>
      <c r="K1965" s="35">
        <f t="shared" si="900"/>
        <v>7391.3</v>
      </c>
      <c r="L1965" s="35">
        <f t="shared" si="894"/>
        <v>100</v>
      </c>
      <c r="M1965" s="35">
        <f t="shared" si="895"/>
        <v>100</v>
      </c>
    </row>
    <row r="1966" spans="1:13" ht="25.5">
      <c r="A1966" s="59" t="s">
        <v>151</v>
      </c>
      <c r="B1966" s="28" t="s">
        <v>741</v>
      </c>
      <c r="C1966" s="28" t="s">
        <v>148</v>
      </c>
      <c r="D1966" s="28" t="s">
        <v>150</v>
      </c>
      <c r="E1966" s="28" t="s">
        <v>786</v>
      </c>
      <c r="F1966" s="28" t="s">
        <v>152</v>
      </c>
      <c r="G1966" s="35">
        <v>7391.3</v>
      </c>
      <c r="H1966" s="35">
        <v>7391.3</v>
      </c>
      <c r="I1966" s="35">
        <v>7391.3</v>
      </c>
      <c r="J1966" s="35">
        <v>7391.3</v>
      </c>
      <c r="K1966" s="35">
        <v>7391.3</v>
      </c>
      <c r="L1966" s="35">
        <f t="shared" si="894"/>
        <v>100</v>
      </c>
      <c r="M1966" s="35">
        <f t="shared" si="895"/>
        <v>100</v>
      </c>
    </row>
    <row r="1967" spans="1:13" ht="76.5">
      <c r="A1967" s="59" t="s">
        <v>787</v>
      </c>
      <c r="B1967" s="28" t="s">
        <v>741</v>
      </c>
      <c r="C1967" s="28" t="s">
        <v>148</v>
      </c>
      <c r="D1967" s="28" t="s">
        <v>150</v>
      </c>
      <c r="E1967" s="28" t="s">
        <v>788</v>
      </c>
      <c r="F1967" s="58" t="s">
        <v>0</v>
      </c>
      <c r="G1967" s="35">
        <f>G1968</f>
        <v>33087.199999999997</v>
      </c>
      <c r="H1967" s="35">
        <f t="shared" ref="H1967:K1968" si="901">H1968</f>
        <v>33087.199999999997</v>
      </c>
      <c r="I1967" s="35">
        <f t="shared" si="901"/>
        <v>14642.046</v>
      </c>
      <c r="J1967" s="35">
        <f t="shared" si="901"/>
        <v>14642.046</v>
      </c>
      <c r="K1967" s="35">
        <f t="shared" si="901"/>
        <v>14642.046</v>
      </c>
      <c r="L1967" s="35">
        <f t="shared" si="894"/>
        <v>44.252901424115677</v>
      </c>
      <c r="M1967" s="35">
        <f t="shared" si="895"/>
        <v>100</v>
      </c>
    </row>
    <row r="1968" spans="1:13">
      <c r="A1968" s="59" t="s">
        <v>68</v>
      </c>
      <c r="B1968" s="28" t="s">
        <v>741</v>
      </c>
      <c r="C1968" s="28" t="s">
        <v>148</v>
      </c>
      <c r="D1968" s="28" t="s">
        <v>150</v>
      </c>
      <c r="E1968" s="28" t="s">
        <v>788</v>
      </c>
      <c r="F1968" s="28" t="s">
        <v>69</v>
      </c>
      <c r="G1968" s="35">
        <f>G1969</f>
        <v>33087.199999999997</v>
      </c>
      <c r="H1968" s="35">
        <f t="shared" si="901"/>
        <v>33087.199999999997</v>
      </c>
      <c r="I1968" s="35">
        <f t="shared" si="901"/>
        <v>14642.046</v>
      </c>
      <c r="J1968" s="35">
        <f t="shared" si="901"/>
        <v>14642.046</v>
      </c>
      <c r="K1968" s="35">
        <f t="shared" si="901"/>
        <v>14642.046</v>
      </c>
      <c r="L1968" s="35">
        <f t="shared" si="894"/>
        <v>44.252901424115677</v>
      </c>
      <c r="M1968" s="35">
        <f t="shared" si="895"/>
        <v>100</v>
      </c>
    </row>
    <row r="1969" spans="1:13" ht="25.5">
      <c r="A1969" s="59" t="s">
        <v>151</v>
      </c>
      <c r="B1969" s="28" t="s">
        <v>741</v>
      </c>
      <c r="C1969" s="28" t="s">
        <v>148</v>
      </c>
      <c r="D1969" s="28" t="s">
        <v>150</v>
      </c>
      <c r="E1969" s="28" t="s">
        <v>788</v>
      </c>
      <c r="F1969" s="28" t="s">
        <v>152</v>
      </c>
      <c r="G1969" s="35">
        <v>33087.199999999997</v>
      </c>
      <c r="H1969" s="35">
        <v>33087.199999999997</v>
      </c>
      <c r="I1969" s="35">
        <v>14642.046</v>
      </c>
      <c r="J1969" s="35">
        <v>14642.046</v>
      </c>
      <c r="K1969" s="35">
        <v>14642.046</v>
      </c>
      <c r="L1969" s="35">
        <f t="shared" si="894"/>
        <v>44.252901424115677</v>
      </c>
      <c r="M1969" s="35">
        <f t="shared" si="895"/>
        <v>100</v>
      </c>
    </row>
    <row r="1970" spans="1:13" ht="51">
      <c r="A1970" s="59" t="s">
        <v>789</v>
      </c>
      <c r="B1970" s="28" t="s">
        <v>741</v>
      </c>
      <c r="C1970" s="28" t="s">
        <v>148</v>
      </c>
      <c r="D1970" s="28" t="s">
        <v>150</v>
      </c>
      <c r="E1970" s="28" t="s">
        <v>790</v>
      </c>
      <c r="F1970" s="58" t="s">
        <v>0</v>
      </c>
      <c r="G1970" s="35">
        <f>G1971+G1973</f>
        <v>8799.1999999999989</v>
      </c>
      <c r="H1970" s="35">
        <f t="shared" ref="H1970:K1970" si="902">H1971+H1973</f>
        <v>8799.1999999999989</v>
      </c>
      <c r="I1970" s="35">
        <f t="shared" si="902"/>
        <v>6290.9633100000001</v>
      </c>
      <c r="J1970" s="35">
        <f t="shared" si="902"/>
        <v>6290.9633100000001</v>
      </c>
      <c r="K1970" s="35">
        <f t="shared" si="902"/>
        <v>6290.9633100000001</v>
      </c>
      <c r="L1970" s="35">
        <f t="shared" si="894"/>
        <v>71.494718951722888</v>
      </c>
      <c r="M1970" s="35">
        <f t="shared" si="895"/>
        <v>100</v>
      </c>
    </row>
    <row r="1971" spans="1:13" ht="25.5">
      <c r="A1971" s="59" t="s">
        <v>64</v>
      </c>
      <c r="B1971" s="28" t="s">
        <v>741</v>
      </c>
      <c r="C1971" s="28" t="s">
        <v>148</v>
      </c>
      <c r="D1971" s="28" t="s">
        <v>150</v>
      </c>
      <c r="E1971" s="28" t="s">
        <v>790</v>
      </c>
      <c r="F1971" s="28" t="s">
        <v>65</v>
      </c>
      <c r="G1971" s="35">
        <f>G1972</f>
        <v>0.3</v>
      </c>
      <c r="H1971" s="35">
        <f t="shared" ref="H1971:K1971" si="903">H1972</f>
        <v>0.49</v>
      </c>
      <c r="I1971" s="35">
        <f t="shared" si="903"/>
        <v>0.44955000000000001</v>
      </c>
      <c r="J1971" s="35">
        <f t="shared" si="903"/>
        <v>0.44955000000000001</v>
      </c>
      <c r="K1971" s="35">
        <f t="shared" si="903"/>
        <v>0.44955000000000001</v>
      </c>
      <c r="L1971" s="35">
        <f t="shared" si="894"/>
        <v>91.744897959183675</v>
      </c>
      <c r="M1971" s="35">
        <f t="shared" si="895"/>
        <v>100</v>
      </c>
    </row>
    <row r="1972" spans="1:13" ht="25.5">
      <c r="A1972" s="59" t="s">
        <v>66</v>
      </c>
      <c r="B1972" s="28" t="s">
        <v>741</v>
      </c>
      <c r="C1972" s="28" t="s">
        <v>148</v>
      </c>
      <c r="D1972" s="28" t="s">
        <v>150</v>
      </c>
      <c r="E1972" s="28" t="s">
        <v>790</v>
      </c>
      <c r="F1972" s="28" t="s">
        <v>67</v>
      </c>
      <c r="G1972" s="35">
        <v>0.3</v>
      </c>
      <c r="H1972" s="35">
        <v>0.49</v>
      </c>
      <c r="I1972" s="35">
        <v>0.44955000000000001</v>
      </c>
      <c r="J1972" s="35">
        <v>0.44955000000000001</v>
      </c>
      <c r="K1972" s="35">
        <v>0.44955000000000001</v>
      </c>
      <c r="L1972" s="35">
        <f t="shared" si="894"/>
        <v>91.744897959183675</v>
      </c>
      <c r="M1972" s="35">
        <f t="shared" si="895"/>
        <v>100</v>
      </c>
    </row>
    <row r="1973" spans="1:13">
      <c r="A1973" s="59" t="s">
        <v>68</v>
      </c>
      <c r="B1973" s="28" t="s">
        <v>741</v>
      </c>
      <c r="C1973" s="28" t="s">
        <v>148</v>
      </c>
      <c r="D1973" s="28" t="s">
        <v>150</v>
      </c>
      <c r="E1973" s="28" t="s">
        <v>790</v>
      </c>
      <c r="F1973" s="28" t="s">
        <v>69</v>
      </c>
      <c r="G1973" s="35">
        <f>G1974</f>
        <v>8798.9</v>
      </c>
      <c r="H1973" s="35">
        <f t="shared" ref="H1973:K1973" si="904">H1974</f>
        <v>8798.7099999999991</v>
      </c>
      <c r="I1973" s="35">
        <f t="shared" si="904"/>
        <v>6290.5137599999998</v>
      </c>
      <c r="J1973" s="35">
        <f t="shared" si="904"/>
        <v>6290.5137599999998</v>
      </c>
      <c r="K1973" s="35">
        <f t="shared" si="904"/>
        <v>6290.5137599999998</v>
      </c>
      <c r="L1973" s="35">
        <f t="shared" si="894"/>
        <v>71.493591219621976</v>
      </c>
      <c r="M1973" s="35">
        <f t="shared" si="895"/>
        <v>100</v>
      </c>
    </row>
    <row r="1974" spans="1:13" ht="25.5">
      <c r="A1974" s="59" t="s">
        <v>463</v>
      </c>
      <c r="B1974" s="28" t="s">
        <v>741</v>
      </c>
      <c r="C1974" s="28" t="s">
        <v>148</v>
      </c>
      <c r="D1974" s="28" t="s">
        <v>150</v>
      </c>
      <c r="E1974" s="28" t="s">
        <v>790</v>
      </c>
      <c r="F1974" s="28" t="s">
        <v>464</v>
      </c>
      <c r="G1974" s="35">
        <v>8798.9</v>
      </c>
      <c r="H1974" s="35">
        <v>8798.7099999999991</v>
      </c>
      <c r="I1974" s="35">
        <v>6290.5137599999998</v>
      </c>
      <c r="J1974" s="35">
        <v>6290.5137599999998</v>
      </c>
      <c r="K1974" s="35">
        <v>6290.5137599999998</v>
      </c>
      <c r="L1974" s="35">
        <f t="shared" si="894"/>
        <v>71.493591219621976</v>
      </c>
      <c r="M1974" s="35">
        <f t="shared" si="895"/>
        <v>100</v>
      </c>
    </row>
    <row r="1975" spans="1:13">
      <c r="A1975" s="59" t="s">
        <v>791</v>
      </c>
      <c r="B1975" s="28" t="s">
        <v>741</v>
      </c>
      <c r="C1975" s="28" t="s">
        <v>148</v>
      </c>
      <c r="D1975" s="28" t="s">
        <v>150</v>
      </c>
      <c r="E1975" s="28" t="s">
        <v>792</v>
      </c>
      <c r="F1975" s="58" t="s">
        <v>0</v>
      </c>
      <c r="G1975" s="35">
        <f>G1976+G1978</f>
        <v>732018.2</v>
      </c>
      <c r="H1975" s="35">
        <f t="shared" ref="H1975:K1975" si="905">H1976+H1978</f>
        <v>732018.22399999993</v>
      </c>
      <c r="I1975" s="35">
        <f t="shared" si="905"/>
        <v>494112.21494999999</v>
      </c>
      <c r="J1975" s="35">
        <f t="shared" si="905"/>
        <v>494112.21494999999</v>
      </c>
      <c r="K1975" s="35">
        <f t="shared" si="905"/>
        <v>494112.21494999999</v>
      </c>
      <c r="L1975" s="35">
        <f t="shared" si="894"/>
        <v>67.499988217506456</v>
      </c>
      <c r="M1975" s="35">
        <f t="shared" si="895"/>
        <v>100</v>
      </c>
    </row>
    <row r="1976" spans="1:13" ht="25.5">
      <c r="A1976" s="59" t="s">
        <v>64</v>
      </c>
      <c r="B1976" s="28" t="s">
        <v>741</v>
      </c>
      <c r="C1976" s="28" t="s">
        <v>148</v>
      </c>
      <c r="D1976" s="28" t="s">
        <v>150</v>
      </c>
      <c r="E1976" s="28" t="s">
        <v>792</v>
      </c>
      <c r="F1976" s="28" t="s">
        <v>65</v>
      </c>
      <c r="G1976" s="35">
        <f>G1977</f>
        <v>9769.5</v>
      </c>
      <c r="H1976" s="35">
        <f t="shared" ref="H1976:K1976" si="906">H1977</f>
        <v>9769.4746799999994</v>
      </c>
      <c r="I1976" s="35">
        <f t="shared" si="906"/>
        <v>7617.1803799999998</v>
      </c>
      <c r="J1976" s="35">
        <f t="shared" si="906"/>
        <v>7617.1803799999998</v>
      </c>
      <c r="K1976" s="35">
        <f t="shared" si="906"/>
        <v>7617.1803799999998</v>
      </c>
      <c r="L1976" s="35">
        <f t="shared" si="894"/>
        <v>77.969191072206144</v>
      </c>
      <c r="M1976" s="35">
        <f t="shared" si="895"/>
        <v>100</v>
      </c>
    </row>
    <row r="1977" spans="1:13" ht="25.5">
      <c r="A1977" s="59" t="s">
        <v>66</v>
      </c>
      <c r="B1977" s="28" t="s">
        <v>741</v>
      </c>
      <c r="C1977" s="28" t="s">
        <v>148</v>
      </c>
      <c r="D1977" s="28" t="s">
        <v>150</v>
      </c>
      <c r="E1977" s="28" t="s">
        <v>792</v>
      </c>
      <c r="F1977" s="28" t="s">
        <v>67</v>
      </c>
      <c r="G1977" s="35">
        <v>9769.5</v>
      </c>
      <c r="H1977" s="35">
        <v>9769.4746799999994</v>
      </c>
      <c r="I1977" s="35">
        <v>7617.1803799999998</v>
      </c>
      <c r="J1977" s="35">
        <v>7617.1803799999998</v>
      </c>
      <c r="K1977" s="35">
        <v>7617.1803799999998</v>
      </c>
      <c r="L1977" s="35">
        <f t="shared" si="894"/>
        <v>77.969191072206144</v>
      </c>
      <c r="M1977" s="35">
        <f t="shared" si="895"/>
        <v>100</v>
      </c>
    </row>
    <row r="1978" spans="1:13">
      <c r="A1978" s="59" t="s">
        <v>68</v>
      </c>
      <c r="B1978" s="28" t="s">
        <v>741</v>
      </c>
      <c r="C1978" s="28" t="s">
        <v>148</v>
      </c>
      <c r="D1978" s="28" t="s">
        <v>150</v>
      </c>
      <c r="E1978" s="28" t="s">
        <v>792</v>
      </c>
      <c r="F1978" s="28" t="s">
        <v>69</v>
      </c>
      <c r="G1978" s="35">
        <f>G1979</f>
        <v>722248.7</v>
      </c>
      <c r="H1978" s="35">
        <f t="shared" ref="H1978:K1978" si="907">H1979</f>
        <v>722248.74931999994</v>
      </c>
      <c r="I1978" s="35">
        <f t="shared" si="907"/>
        <v>486495.03457000002</v>
      </c>
      <c r="J1978" s="35">
        <f t="shared" si="907"/>
        <v>486495.03457000002</v>
      </c>
      <c r="K1978" s="35">
        <f t="shared" si="907"/>
        <v>486495.03457000002</v>
      </c>
      <c r="L1978" s="35">
        <f t="shared" si="894"/>
        <v>67.358376878885153</v>
      </c>
      <c r="M1978" s="35">
        <f t="shared" si="895"/>
        <v>100</v>
      </c>
    </row>
    <row r="1979" spans="1:13" ht="25.5">
      <c r="A1979" s="59" t="s">
        <v>151</v>
      </c>
      <c r="B1979" s="28" t="s">
        <v>741</v>
      </c>
      <c r="C1979" s="28" t="s">
        <v>148</v>
      </c>
      <c r="D1979" s="28" t="s">
        <v>150</v>
      </c>
      <c r="E1979" s="28" t="s">
        <v>792</v>
      </c>
      <c r="F1979" s="28" t="s">
        <v>152</v>
      </c>
      <c r="G1979" s="35">
        <v>722248.7</v>
      </c>
      <c r="H1979" s="35">
        <v>722248.74931999994</v>
      </c>
      <c r="I1979" s="35">
        <v>486495.03457000002</v>
      </c>
      <c r="J1979" s="35">
        <v>486495.03457000002</v>
      </c>
      <c r="K1979" s="35">
        <v>486495.03457000002</v>
      </c>
      <c r="L1979" s="35">
        <f t="shared" si="894"/>
        <v>67.358376878885153</v>
      </c>
      <c r="M1979" s="35">
        <f t="shared" si="895"/>
        <v>100</v>
      </c>
    </row>
    <row r="1980" spans="1:13" ht="51">
      <c r="A1980" s="59" t="s">
        <v>793</v>
      </c>
      <c r="B1980" s="28" t="s">
        <v>741</v>
      </c>
      <c r="C1980" s="28" t="s">
        <v>148</v>
      </c>
      <c r="D1980" s="28" t="s">
        <v>150</v>
      </c>
      <c r="E1980" s="28" t="s">
        <v>794</v>
      </c>
      <c r="F1980" s="58" t="s">
        <v>0</v>
      </c>
      <c r="G1980" s="35">
        <f>G1981+G1983</f>
        <v>105784.5</v>
      </c>
      <c r="H1980" s="35">
        <f t="shared" ref="H1980:K1980" si="908">H1981+H1983</f>
        <v>106402.33600000001</v>
      </c>
      <c r="I1980" s="35">
        <f t="shared" si="908"/>
        <v>106402.33521</v>
      </c>
      <c r="J1980" s="35">
        <f t="shared" si="908"/>
        <v>106402.33521</v>
      </c>
      <c r="K1980" s="35">
        <f t="shared" si="908"/>
        <v>106402.33521</v>
      </c>
      <c r="L1980" s="35">
        <f t="shared" si="894"/>
        <v>99.999999257535094</v>
      </c>
      <c r="M1980" s="35">
        <f t="shared" si="895"/>
        <v>100</v>
      </c>
    </row>
    <row r="1981" spans="1:13" ht="25.5">
      <c r="A1981" s="59" t="s">
        <v>64</v>
      </c>
      <c r="B1981" s="28" t="s">
        <v>741</v>
      </c>
      <c r="C1981" s="28" t="s">
        <v>148</v>
      </c>
      <c r="D1981" s="28" t="s">
        <v>150</v>
      </c>
      <c r="E1981" s="28" t="s">
        <v>794</v>
      </c>
      <c r="F1981" s="28" t="s">
        <v>65</v>
      </c>
      <c r="G1981" s="35">
        <f>G1982</f>
        <v>1350.9</v>
      </c>
      <c r="H1981" s="35">
        <f t="shared" ref="H1981:K1981" si="909">H1982</f>
        <v>1357.0244700000001</v>
      </c>
      <c r="I1981" s="35">
        <f t="shared" si="909"/>
        <v>1357.0244700000001</v>
      </c>
      <c r="J1981" s="35">
        <f t="shared" si="909"/>
        <v>1357.0244700000001</v>
      </c>
      <c r="K1981" s="35">
        <f t="shared" si="909"/>
        <v>1357.0244700000001</v>
      </c>
      <c r="L1981" s="35">
        <f t="shared" si="894"/>
        <v>100</v>
      </c>
      <c r="M1981" s="35">
        <f t="shared" si="895"/>
        <v>100</v>
      </c>
    </row>
    <row r="1982" spans="1:13" ht="25.5">
      <c r="A1982" s="59" t="s">
        <v>66</v>
      </c>
      <c r="B1982" s="28" t="s">
        <v>741</v>
      </c>
      <c r="C1982" s="28" t="s">
        <v>148</v>
      </c>
      <c r="D1982" s="28" t="s">
        <v>150</v>
      </c>
      <c r="E1982" s="28" t="s">
        <v>794</v>
      </c>
      <c r="F1982" s="28" t="s">
        <v>67</v>
      </c>
      <c r="G1982" s="35">
        <v>1350.9</v>
      </c>
      <c r="H1982" s="35">
        <v>1357.0244700000001</v>
      </c>
      <c r="I1982" s="35">
        <v>1357.0244700000001</v>
      </c>
      <c r="J1982" s="35">
        <v>1357.0244700000001</v>
      </c>
      <c r="K1982" s="35">
        <v>1357.0244700000001</v>
      </c>
      <c r="L1982" s="35">
        <f t="shared" si="894"/>
        <v>100</v>
      </c>
      <c r="M1982" s="35">
        <f t="shared" si="895"/>
        <v>100</v>
      </c>
    </row>
    <row r="1983" spans="1:13">
      <c r="A1983" s="59" t="s">
        <v>68</v>
      </c>
      <c r="B1983" s="28" t="s">
        <v>741</v>
      </c>
      <c r="C1983" s="28" t="s">
        <v>148</v>
      </c>
      <c r="D1983" s="28" t="s">
        <v>150</v>
      </c>
      <c r="E1983" s="28" t="s">
        <v>794</v>
      </c>
      <c r="F1983" s="28" t="s">
        <v>69</v>
      </c>
      <c r="G1983" s="35">
        <f>G1984</f>
        <v>104433.60000000001</v>
      </c>
      <c r="H1983" s="35">
        <f t="shared" ref="H1983:K1983" si="910">H1984</f>
        <v>105045.31153000001</v>
      </c>
      <c r="I1983" s="35">
        <f t="shared" si="910"/>
        <v>105045.31074</v>
      </c>
      <c r="J1983" s="35">
        <f t="shared" si="910"/>
        <v>105045.31074</v>
      </c>
      <c r="K1983" s="35">
        <f t="shared" si="910"/>
        <v>105045.31074</v>
      </c>
      <c r="L1983" s="35">
        <f t="shared" si="894"/>
        <v>99.999999247943578</v>
      </c>
      <c r="M1983" s="35">
        <f t="shared" si="895"/>
        <v>100</v>
      </c>
    </row>
    <row r="1984" spans="1:13" ht="25.5">
      <c r="A1984" s="59" t="s">
        <v>463</v>
      </c>
      <c r="B1984" s="28" t="s">
        <v>741</v>
      </c>
      <c r="C1984" s="28" t="s">
        <v>148</v>
      </c>
      <c r="D1984" s="28" t="s">
        <v>150</v>
      </c>
      <c r="E1984" s="28" t="s">
        <v>794</v>
      </c>
      <c r="F1984" s="28" t="s">
        <v>464</v>
      </c>
      <c r="G1984" s="35">
        <v>104433.60000000001</v>
      </c>
      <c r="H1984" s="35">
        <v>105045.31153000001</v>
      </c>
      <c r="I1984" s="35">
        <v>105045.31074</v>
      </c>
      <c r="J1984" s="35">
        <v>105045.31074</v>
      </c>
      <c r="K1984" s="35">
        <v>105045.31074</v>
      </c>
      <c r="L1984" s="35">
        <f t="shared" si="894"/>
        <v>99.999999247943578</v>
      </c>
      <c r="M1984" s="35">
        <f t="shared" si="895"/>
        <v>100</v>
      </c>
    </row>
    <row r="1985" spans="1:13" ht="76.5">
      <c r="A1985" s="59" t="s">
        <v>795</v>
      </c>
      <c r="B1985" s="28" t="s">
        <v>741</v>
      </c>
      <c r="C1985" s="28" t="s">
        <v>148</v>
      </c>
      <c r="D1985" s="28" t="s">
        <v>150</v>
      </c>
      <c r="E1985" s="28" t="s">
        <v>796</v>
      </c>
      <c r="F1985" s="58" t="s">
        <v>0</v>
      </c>
      <c r="G1985" s="35">
        <f>G1986+G1988</f>
        <v>77.400000000000006</v>
      </c>
      <c r="H1985" s="35">
        <f t="shared" ref="H1985:K1985" si="911">H1986+H1988</f>
        <v>77.400000000000006</v>
      </c>
      <c r="I1985" s="35">
        <f t="shared" si="911"/>
        <v>20.294550000000001</v>
      </c>
      <c r="J1985" s="35">
        <f t="shared" si="911"/>
        <v>20.294550000000001</v>
      </c>
      <c r="K1985" s="35">
        <f t="shared" si="911"/>
        <v>20.294550000000001</v>
      </c>
      <c r="L1985" s="35">
        <f t="shared" si="894"/>
        <v>26.220348837209301</v>
      </c>
      <c r="M1985" s="35">
        <f t="shared" si="895"/>
        <v>100</v>
      </c>
    </row>
    <row r="1986" spans="1:13" ht="25.5">
      <c r="A1986" s="59" t="s">
        <v>64</v>
      </c>
      <c r="B1986" s="28" t="s">
        <v>741</v>
      </c>
      <c r="C1986" s="28" t="s">
        <v>148</v>
      </c>
      <c r="D1986" s="28" t="s">
        <v>150</v>
      </c>
      <c r="E1986" s="28" t="s">
        <v>796</v>
      </c>
      <c r="F1986" s="28" t="s">
        <v>65</v>
      </c>
      <c r="G1986" s="35">
        <f>G1987</f>
        <v>0.2</v>
      </c>
      <c r="H1986" s="35">
        <f t="shared" ref="H1986:K1986" si="912">H1987</f>
        <v>0.23604</v>
      </c>
      <c r="I1986" s="35">
        <f t="shared" si="912"/>
        <v>0.20097000000000001</v>
      </c>
      <c r="J1986" s="35">
        <f t="shared" si="912"/>
        <v>0.20097000000000001</v>
      </c>
      <c r="K1986" s="35">
        <f t="shared" si="912"/>
        <v>0.20097000000000001</v>
      </c>
      <c r="L1986" s="35">
        <f t="shared" si="894"/>
        <v>85.142348754448406</v>
      </c>
      <c r="M1986" s="35">
        <f t="shared" si="895"/>
        <v>100</v>
      </c>
    </row>
    <row r="1987" spans="1:13" ht="25.5">
      <c r="A1987" s="59" t="s">
        <v>66</v>
      </c>
      <c r="B1987" s="28" t="s">
        <v>741</v>
      </c>
      <c r="C1987" s="28" t="s">
        <v>148</v>
      </c>
      <c r="D1987" s="28" t="s">
        <v>150</v>
      </c>
      <c r="E1987" s="28" t="s">
        <v>796</v>
      </c>
      <c r="F1987" s="28" t="s">
        <v>67</v>
      </c>
      <c r="G1987" s="35">
        <v>0.2</v>
      </c>
      <c r="H1987" s="35">
        <v>0.23604</v>
      </c>
      <c r="I1987" s="35">
        <v>0.20097000000000001</v>
      </c>
      <c r="J1987" s="35">
        <v>0.20097000000000001</v>
      </c>
      <c r="K1987" s="35">
        <v>0.20097000000000001</v>
      </c>
      <c r="L1987" s="35">
        <f t="shared" si="894"/>
        <v>85.142348754448406</v>
      </c>
      <c r="M1987" s="35">
        <f t="shared" si="895"/>
        <v>100</v>
      </c>
    </row>
    <row r="1988" spans="1:13">
      <c r="A1988" s="59" t="s">
        <v>68</v>
      </c>
      <c r="B1988" s="28" t="s">
        <v>741</v>
      </c>
      <c r="C1988" s="28" t="s">
        <v>148</v>
      </c>
      <c r="D1988" s="28" t="s">
        <v>150</v>
      </c>
      <c r="E1988" s="28" t="s">
        <v>796</v>
      </c>
      <c r="F1988" s="28" t="s">
        <v>69</v>
      </c>
      <c r="G1988" s="35">
        <f>G1989</f>
        <v>77.2</v>
      </c>
      <c r="H1988" s="35">
        <f t="shared" ref="H1988:K1988" si="913">H1989</f>
        <v>77.163960000000003</v>
      </c>
      <c r="I1988" s="35">
        <f t="shared" si="913"/>
        <v>20.093579999999999</v>
      </c>
      <c r="J1988" s="35">
        <f t="shared" si="913"/>
        <v>20.093579999999999</v>
      </c>
      <c r="K1988" s="35">
        <f t="shared" si="913"/>
        <v>20.093579999999999</v>
      </c>
      <c r="L1988" s="35">
        <f t="shared" si="894"/>
        <v>26.040109916598368</v>
      </c>
      <c r="M1988" s="35">
        <f t="shared" si="895"/>
        <v>100</v>
      </c>
    </row>
    <row r="1989" spans="1:13" ht="25.5">
      <c r="A1989" s="59" t="s">
        <v>463</v>
      </c>
      <c r="B1989" s="28" t="s">
        <v>741</v>
      </c>
      <c r="C1989" s="28" t="s">
        <v>148</v>
      </c>
      <c r="D1989" s="28" t="s">
        <v>150</v>
      </c>
      <c r="E1989" s="28" t="s">
        <v>796</v>
      </c>
      <c r="F1989" s="28" t="s">
        <v>464</v>
      </c>
      <c r="G1989" s="35">
        <v>77.2</v>
      </c>
      <c r="H1989" s="35">
        <v>77.163960000000003</v>
      </c>
      <c r="I1989" s="35">
        <v>20.093579999999999</v>
      </c>
      <c r="J1989" s="35">
        <v>20.093579999999999</v>
      </c>
      <c r="K1989" s="35">
        <v>20.093579999999999</v>
      </c>
      <c r="L1989" s="35">
        <f t="shared" si="894"/>
        <v>26.040109916598368</v>
      </c>
      <c r="M1989" s="35">
        <f t="shared" si="895"/>
        <v>100</v>
      </c>
    </row>
    <row r="1990" spans="1:13" ht="25.5">
      <c r="A1990" s="59" t="s">
        <v>797</v>
      </c>
      <c r="B1990" s="28" t="s">
        <v>741</v>
      </c>
      <c r="C1990" s="28" t="s">
        <v>148</v>
      </c>
      <c r="D1990" s="28" t="s">
        <v>150</v>
      </c>
      <c r="E1990" s="28" t="s">
        <v>798</v>
      </c>
      <c r="F1990" s="58" t="s">
        <v>0</v>
      </c>
      <c r="G1990" s="35">
        <f>G1991+G1993</f>
        <v>880598.6</v>
      </c>
      <c r="H1990" s="35">
        <f t="shared" ref="H1990:K1990" si="914">H1991+H1993</f>
        <v>880598.6</v>
      </c>
      <c r="I1990" s="35">
        <f t="shared" si="914"/>
        <v>741091.62571000005</v>
      </c>
      <c r="J1990" s="35">
        <f t="shared" si="914"/>
        <v>741091.62571000005</v>
      </c>
      <c r="K1990" s="35">
        <f t="shared" si="914"/>
        <v>741091.62571000005</v>
      </c>
      <c r="L1990" s="35">
        <f t="shared" si="894"/>
        <v>84.15771109674715</v>
      </c>
      <c r="M1990" s="35">
        <f t="shared" si="895"/>
        <v>100</v>
      </c>
    </row>
    <row r="1991" spans="1:13" ht="25.5">
      <c r="A1991" s="59" t="s">
        <v>64</v>
      </c>
      <c r="B1991" s="28" t="s">
        <v>741</v>
      </c>
      <c r="C1991" s="28" t="s">
        <v>148</v>
      </c>
      <c r="D1991" s="28" t="s">
        <v>150</v>
      </c>
      <c r="E1991" s="28" t="s">
        <v>798</v>
      </c>
      <c r="F1991" s="28" t="s">
        <v>65</v>
      </c>
      <c r="G1991" s="35">
        <f>G1992</f>
        <v>14500</v>
      </c>
      <c r="H1991" s="35">
        <f t="shared" ref="H1991:K1991" si="915">H1992</f>
        <v>14500</v>
      </c>
      <c r="I1991" s="35">
        <f t="shared" si="915"/>
        <v>10518.41627</v>
      </c>
      <c r="J1991" s="35">
        <f t="shared" si="915"/>
        <v>10518.41627</v>
      </c>
      <c r="K1991" s="35">
        <f t="shared" si="915"/>
        <v>10518.41627</v>
      </c>
      <c r="L1991" s="35">
        <f t="shared" si="894"/>
        <v>72.54080186206896</v>
      </c>
      <c r="M1991" s="35">
        <f t="shared" si="895"/>
        <v>100</v>
      </c>
    </row>
    <row r="1992" spans="1:13" ht="25.5">
      <c r="A1992" s="59" t="s">
        <v>66</v>
      </c>
      <c r="B1992" s="28" t="s">
        <v>741</v>
      </c>
      <c r="C1992" s="28" t="s">
        <v>148</v>
      </c>
      <c r="D1992" s="28" t="s">
        <v>150</v>
      </c>
      <c r="E1992" s="28" t="s">
        <v>798</v>
      </c>
      <c r="F1992" s="28" t="s">
        <v>67</v>
      </c>
      <c r="G1992" s="35">
        <v>14500</v>
      </c>
      <c r="H1992" s="35">
        <v>14500</v>
      </c>
      <c r="I1992" s="35">
        <v>10518.41627</v>
      </c>
      <c r="J1992" s="35">
        <v>10518.41627</v>
      </c>
      <c r="K1992" s="35">
        <v>10518.41627</v>
      </c>
      <c r="L1992" s="35">
        <f t="shared" si="894"/>
        <v>72.54080186206896</v>
      </c>
      <c r="M1992" s="35">
        <f t="shared" si="895"/>
        <v>100</v>
      </c>
    </row>
    <row r="1993" spans="1:13">
      <c r="A1993" s="59" t="s">
        <v>68</v>
      </c>
      <c r="B1993" s="28" t="s">
        <v>741</v>
      </c>
      <c r="C1993" s="28" t="s">
        <v>148</v>
      </c>
      <c r="D1993" s="28" t="s">
        <v>150</v>
      </c>
      <c r="E1993" s="28" t="s">
        <v>798</v>
      </c>
      <c r="F1993" s="28" t="s">
        <v>69</v>
      </c>
      <c r="G1993" s="35">
        <f>G1994</f>
        <v>866098.6</v>
      </c>
      <c r="H1993" s="35">
        <f t="shared" ref="H1993:K1993" si="916">H1994</f>
        <v>866098.6</v>
      </c>
      <c r="I1993" s="35">
        <f t="shared" si="916"/>
        <v>730573.20944000001</v>
      </c>
      <c r="J1993" s="35">
        <f t="shared" si="916"/>
        <v>730573.20944000001</v>
      </c>
      <c r="K1993" s="35">
        <f t="shared" si="916"/>
        <v>730573.20944000001</v>
      </c>
      <c r="L1993" s="35">
        <f t="shared" si="894"/>
        <v>84.352198403276489</v>
      </c>
      <c r="M1993" s="35">
        <f t="shared" si="895"/>
        <v>100</v>
      </c>
    </row>
    <row r="1994" spans="1:13" ht="25.5">
      <c r="A1994" s="59" t="s">
        <v>151</v>
      </c>
      <c r="B1994" s="28" t="s">
        <v>741</v>
      </c>
      <c r="C1994" s="28" t="s">
        <v>148</v>
      </c>
      <c r="D1994" s="28" t="s">
        <v>150</v>
      </c>
      <c r="E1994" s="28" t="s">
        <v>798</v>
      </c>
      <c r="F1994" s="28" t="s">
        <v>152</v>
      </c>
      <c r="G1994" s="35">
        <v>866098.6</v>
      </c>
      <c r="H1994" s="35">
        <v>866098.6</v>
      </c>
      <c r="I1994" s="35">
        <v>730573.20944000001</v>
      </c>
      <c r="J1994" s="35">
        <v>730573.20944000001</v>
      </c>
      <c r="K1994" s="35">
        <v>730573.20944000001</v>
      </c>
      <c r="L1994" s="35">
        <f t="shared" si="894"/>
        <v>84.352198403276489</v>
      </c>
      <c r="M1994" s="35">
        <f t="shared" si="895"/>
        <v>100</v>
      </c>
    </row>
    <row r="1995" spans="1:13" ht="89.25">
      <c r="A1995" s="59" t="s">
        <v>799</v>
      </c>
      <c r="B1995" s="28" t="s">
        <v>741</v>
      </c>
      <c r="C1995" s="28" t="s">
        <v>148</v>
      </c>
      <c r="D1995" s="28" t="s">
        <v>150</v>
      </c>
      <c r="E1995" s="28" t="s">
        <v>800</v>
      </c>
      <c r="F1995" s="58" t="s">
        <v>0</v>
      </c>
      <c r="G1995" s="35">
        <f>G1996+G1998</f>
        <v>180.9</v>
      </c>
      <c r="H1995" s="35">
        <f t="shared" ref="H1995:K1995" si="917">H1996+H1998</f>
        <v>180.89999999999998</v>
      </c>
      <c r="I1995" s="35">
        <f t="shared" si="917"/>
        <v>180.89765</v>
      </c>
      <c r="J1995" s="35">
        <f t="shared" si="917"/>
        <v>180.89765</v>
      </c>
      <c r="K1995" s="35">
        <f t="shared" si="917"/>
        <v>180.89765</v>
      </c>
      <c r="L1995" s="35">
        <f t="shared" si="894"/>
        <v>99.998700939745731</v>
      </c>
      <c r="M1995" s="35">
        <f t="shared" si="895"/>
        <v>100</v>
      </c>
    </row>
    <row r="1996" spans="1:13" ht="25.5">
      <c r="A1996" s="59" t="s">
        <v>64</v>
      </c>
      <c r="B1996" s="28" t="s">
        <v>741</v>
      </c>
      <c r="C1996" s="28" t="s">
        <v>148</v>
      </c>
      <c r="D1996" s="28" t="s">
        <v>150</v>
      </c>
      <c r="E1996" s="28" t="s">
        <v>800</v>
      </c>
      <c r="F1996" s="28" t="s">
        <v>65</v>
      </c>
      <c r="G1996" s="35">
        <f>G1997</f>
        <v>5.3</v>
      </c>
      <c r="H1996" s="35">
        <f t="shared" ref="H1996:K1996" si="918">H1997</f>
        <v>1.325</v>
      </c>
      <c r="I1996" s="35">
        <f t="shared" si="918"/>
        <v>1.32362</v>
      </c>
      <c r="J1996" s="35">
        <f t="shared" si="918"/>
        <v>1.32362</v>
      </c>
      <c r="K1996" s="35">
        <f t="shared" si="918"/>
        <v>1.32362</v>
      </c>
      <c r="L1996" s="35">
        <f t="shared" si="894"/>
        <v>99.89584905660378</v>
      </c>
      <c r="M1996" s="35">
        <f t="shared" si="895"/>
        <v>100</v>
      </c>
    </row>
    <row r="1997" spans="1:13" ht="25.5">
      <c r="A1997" s="59" t="s">
        <v>66</v>
      </c>
      <c r="B1997" s="28" t="s">
        <v>741</v>
      </c>
      <c r="C1997" s="28" t="s">
        <v>148</v>
      </c>
      <c r="D1997" s="28" t="s">
        <v>150</v>
      </c>
      <c r="E1997" s="28" t="s">
        <v>800</v>
      </c>
      <c r="F1997" s="28" t="s">
        <v>67</v>
      </c>
      <c r="G1997" s="35">
        <v>5.3</v>
      </c>
      <c r="H1997" s="35">
        <v>1.325</v>
      </c>
      <c r="I1997" s="35">
        <v>1.32362</v>
      </c>
      <c r="J1997" s="35">
        <v>1.32362</v>
      </c>
      <c r="K1997" s="35">
        <v>1.32362</v>
      </c>
      <c r="L1997" s="35">
        <f t="shared" si="894"/>
        <v>99.89584905660378</v>
      </c>
      <c r="M1997" s="35">
        <f t="shared" si="895"/>
        <v>100</v>
      </c>
    </row>
    <row r="1998" spans="1:13">
      <c r="A1998" s="59" t="s">
        <v>68</v>
      </c>
      <c r="B1998" s="28" t="s">
        <v>741</v>
      </c>
      <c r="C1998" s="28" t="s">
        <v>148</v>
      </c>
      <c r="D1998" s="28" t="s">
        <v>150</v>
      </c>
      <c r="E1998" s="28" t="s">
        <v>800</v>
      </c>
      <c r="F1998" s="28" t="s">
        <v>69</v>
      </c>
      <c r="G1998" s="35">
        <f>G1999</f>
        <v>175.6</v>
      </c>
      <c r="H1998" s="35">
        <f t="shared" ref="H1998:K1998" si="919">H1999</f>
        <v>179.57499999999999</v>
      </c>
      <c r="I1998" s="35">
        <f t="shared" si="919"/>
        <v>179.57402999999999</v>
      </c>
      <c r="J1998" s="35">
        <f t="shared" si="919"/>
        <v>179.57402999999999</v>
      </c>
      <c r="K1998" s="35">
        <f t="shared" si="919"/>
        <v>179.57402999999999</v>
      </c>
      <c r="L1998" s="35">
        <f t="shared" si="894"/>
        <v>99.999459835723243</v>
      </c>
      <c r="M1998" s="35">
        <f t="shared" si="895"/>
        <v>100</v>
      </c>
    </row>
    <row r="1999" spans="1:13" ht="25.5">
      <c r="A1999" s="59" t="s">
        <v>463</v>
      </c>
      <c r="B1999" s="28" t="s">
        <v>741</v>
      </c>
      <c r="C1999" s="28" t="s">
        <v>148</v>
      </c>
      <c r="D1999" s="28" t="s">
        <v>150</v>
      </c>
      <c r="E1999" s="28" t="s">
        <v>800</v>
      </c>
      <c r="F1999" s="28" t="s">
        <v>464</v>
      </c>
      <c r="G1999" s="35">
        <v>175.6</v>
      </c>
      <c r="H1999" s="35">
        <v>179.57499999999999</v>
      </c>
      <c r="I1999" s="35">
        <v>179.57402999999999</v>
      </c>
      <c r="J1999" s="35">
        <v>179.57402999999999</v>
      </c>
      <c r="K1999" s="35">
        <v>179.57402999999999</v>
      </c>
      <c r="L1999" s="35">
        <f t="shared" si="894"/>
        <v>99.999459835723243</v>
      </c>
      <c r="M1999" s="35">
        <f t="shared" si="895"/>
        <v>100</v>
      </c>
    </row>
    <row r="2000" spans="1:13" ht="25.5">
      <c r="A2000" s="59" t="s">
        <v>774</v>
      </c>
      <c r="B2000" s="28" t="s">
        <v>741</v>
      </c>
      <c r="C2000" s="28" t="s">
        <v>148</v>
      </c>
      <c r="D2000" s="28" t="s">
        <v>150</v>
      </c>
      <c r="E2000" s="28" t="s">
        <v>801</v>
      </c>
      <c r="F2000" s="58" t="s">
        <v>0</v>
      </c>
      <c r="G2000" s="35">
        <f>G2001</f>
        <v>40</v>
      </c>
      <c r="H2000" s="35">
        <f t="shared" ref="H2000:K2001" si="920">H2001</f>
        <v>40</v>
      </c>
      <c r="I2000" s="35">
        <f t="shared" si="920"/>
        <v>19.2</v>
      </c>
      <c r="J2000" s="35">
        <f t="shared" si="920"/>
        <v>18.399999999999999</v>
      </c>
      <c r="K2000" s="35">
        <f t="shared" si="920"/>
        <v>3.2</v>
      </c>
      <c r="L2000" s="35">
        <f t="shared" si="894"/>
        <v>8</v>
      </c>
      <c r="M2000" s="35">
        <f t="shared" si="895"/>
        <v>16.666666666666668</v>
      </c>
    </row>
    <row r="2001" spans="1:13" ht="25.5">
      <c r="A2001" s="59" t="s">
        <v>64</v>
      </c>
      <c r="B2001" s="28" t="s">
        <v>741</v>
      </c>
      <c r="C2001" s="28" t="s">
        <v>148</v>
      </c>
      <c r="D2001" s="28" t="s">
        <v>150</v>
      </c>
      <c r="E2001" s="28" t="s">
        <v>801</v>
      </c>
      <c r="F2001" s="28" t="s">
        <v>65</v>
      </c>
      <c r="G2001" s="35">
        <f>G2002</f>
        <v>40</v>
      </c>
      <c r="H2001" s="35">
        <f t="shared" si="920"/>
        <v>40</v>
      </c>
      <c r="I2001" s="35">
        <f t="shared" si="920"/>
        <v>19.2</v>
      </c>
      <c r="J2001" s="35">
        <f t="shared" si="920"/>
        <v>18.399999999999999</v>
      </c>
      <c r="K2001" s="35">
        <f t="shared" si="920"/>
        <v>3.2</v>
      </c>
      <c r="L2001" s="35">
        <f t="shared" si="894"/>
        <v>8</v>
      </c>
      <c r="M2001" s="35">
        <f t="shared" si="895"/>
        <v>16.666666666666668</v>
      </c>
    </row>
    <row r="2002" spans="1:13" ht="25.5">
      <c r="A2002" s="59" t="s">
        <v>66</v>
      </c>
      <c r="B2002" s="28" t="s">
        <v>741</v>
      </c>
      <c r="C2002" s="28" t="s">
        <v>148</v>
      </c>
      <c r="D2002" s="28" t="s">
        <v>150</v>
      </c>
      <c r="E2002" s="28" t="s">
        <v>801</v>
      </c>
      <c r="F2002" s="28" t="s">
        <v>67</v>
      </c>
      <c r="G2002" s="35">
        <v>40</v>
      </c>
      <c r="H2002" s="35">
        <v>40</v>
      </c>
      <c r="I2002" s="35">
        <v>19.2</v>
      </c>
      <c r="J2002" s="35">
        <v>18.399999999999999</v>
      </c>
      <c r="K2002" s="35">
        <v>3.2</v>
      </c>
      <c r="L2002" s="35">
        <f t="shared" si="894"/>
        <v>8</v>
      </c>
      <c r="M2002" s="35">
        <f t="shared" si="895"/>
        <v>16.666666666666668</v>
      </c>
    </row>
    <row r="2003" spans="1:13" ht="25.5">
      <c r="A2003" s="59" t="s">
        <v>802</v>
      </c>
      <c r="B2003" s="28" t="s">
        <v>741</v>
      </c>
      <c r="C2003" s="28" t="s">
        <v>148</v>
      </c>
      <c r="D2003" s="28" t="s">
        <v>150</v>
      </c>
      <c r="E2003" s="28" t="s">
        <v>803</v>
      </c>
      <c r="F2003" s="58" t="s">
        <v>0</v>
      </c>
      <c r="G2003" s="35">
        <f>G2004+G2006</f>
        <v>503667.1</v>
      </c>
      <c r="H2003" s="35">
        <f t="shared" ref="H2003:K2003" si="921">H2004+H2006</f>
        <v>503667.114</v>
      </c>
      <c r="I2003" s="35">
        <f t="shared" si="921"/>
        <v>394468.42100000003</v>
      </c>
      <c r="J2003" s="35">
        <f t="shared" si="921"/>
        <v>394468.42100000003</v>
      </c>
      <c r="K2003" s="35">
        <f t="shared" si="921"/>
        <v>394440.49476999999</v>
      </c>
      <c r="L2003" s="35">
        <f t="shared" si="894"/>
        <v>78.31372821573575</v>
      </c>
      <c r="M2003" s="35">
        <f t="shared" si="895"/>
        <v>99.992920541033612</v>
      </c>
    </row>
    <row r="2004" spans="1:13" ht="25.5">
      <c r="A2004" s="59" t="s">
        <v>64</v>
      </c>
      <c r="B2004" s="28" t="s">
        <v>741</v>
      </c>
      <c r="C2004" s="28" t="s">
        <v>148</v>
      </c>
      <c r="D2004" s="28" t="s">
        <v>150</v>
      </c>
      <c r="E2004" s="28" t="s">
        <v>803</v>
      </c>
      <c r="F2004" s="28" t="s">
        <v>65</v>
      </c>
      <c r="G2004" s="35">
        <f>G2005</f>
        <v>6324.5</v>
      </c>
      <c r="H2004" s="35">
        <f t="shared" ref="H2004:K2004" si="922">H2005</f>
        <v>5632.7982499999998</v>
      </c>
      <c r="I2004" s="35">
        <f t="shared" si="922"/>
        <v>4080.9372499999999</v>
      </c>
      <c r="J2004" s="35">
        <f t="shared" si="922"/>
        <v>4080.9372499999999</v>
      </c>
      <c r="K2004" s="35">
        <f t="shared" si="922"/>
        <v>4080.5253400000001</v>
      </c>
      <c r="L2004" s="35">
        <f t="shared" si="894"/>
        <v>72.442242006448581</v>
      </c>
      <c r="M2004" s="35">
        <f t="shared" si="895"/>
        <v>99.989906485330067</v>
      </c>
    </row>
    <row r="2005" spans="1:13" ht="25.5">
      <c r="A2005" s="59" t="s">
        <v>66</v>
      </c>
      <c r="B2005" s="28" t="s">
        <v>741</v>
      </c>
      <c r="C2005" s="28" t="s">
        <v>148</v>
      </c>
      <c r="D2005" s="28" t="s">
        <v>150</v>
      </c>
      <c r="E2005" s="28" t="s">
        <v>803</v>
      </c>
      <c r="F2005" s="28" t="s">
        <v>67</v>
      </c>
      <c r="G2005" s="35">
        <v>6324.5</v>
      </c>
      <c r="H2005" s="35">
        <v>5632.7982499999998</v>
      </c>
      <c r="I2005" s="35">
        <v>4080.9372499999999</v>
      </c>
      <c r="J2005" s="35">
        <v>4080.9372499999999</v>
      </c>
      <c r="K2005" s="35">
        <v>4080.5253400000001</v>
      </c>
      <c r="L2005" s="35">
        <f t="shared" si="894"/>
        <v>72.442242006448581</v>
      </c>
      <c r="M2005" s="35">
        <f t="shared" si="895"/>
        <v>99.989906485330067</v>
      </c>
    </row>
    <row r="2006" spans="1:13">
      <c r="A2006" s="59" t="s">
        <v>68</v>
      </c>
      <c r="B2006" s="28" t="s">
        <v>741</v>
      </c>
      <c r="C2006" s="28" t="s">
        <v>148</v>
      </c>
      <c r="D2006" s="28" t="s">
        <v>150</v>
      </c>
      <c r="E2006" s="28" t="s">
        <v>803</v>
      </c>
      <c r="F2006" s="28" t="s">
        <v>69</v>
      </c>
      <c r="G2006" s="35">
        <f>G2007</f>
        <v>497342.6</v>
      </c>
      <c r="H2006" s="35">
        <f t="shared" ref="H2006:K2006" si="923">H2007</f>
        <v>498034.31575000001</v>
      </c>
      <c r="I2006" s="35">
        <f t="shared" si="923"/>
        <v>390387.48375000001</v>
      </c>
      <c r="J2006" s="35">
        <f t="shared" si="923"/>
        <v>390387.48375000001</v>
      </c>
      <c r="K2006" s="35">
        <f t="shared" si="923"/>
        <v>390359.96943</v>
      </c>
      <c r="L2006" s="35">
        <f t="shared" si="894"/>
        <v>78.380135080079569</v>
      </c>
      <c r="M2006" s="35">
        <f t="shared" si="895"/>
        <v>99.992952048632361</v>
      </c>
    </row>
    <row r="2007" spans="1:13" ht="25.5">
      <c r="A2007" s="59" t="s">
        <v>151</v>
      </c>
      <c r="B2007" s="28" t="s">
        <v>741</v>
      </c>
      <c r="C2007" s="28" t="s">
        <v>148</v>
      </c>
      <c r="D2007" s="28" t="s">
        <v>150</v>
      </c>
      <c r="E2007" s="28" t="s">
        <v>803</v>
      </c>
      <c r="F2007" s="28" t="s">
        <v>152</v>
      </c>
      <c r="G2007" s="35">
        <v>497342.6</v>
      </c>
      <c r="H2007" s="35">
        <v>498034.31575000001</v>
      </c>
      <c r="I2007" s="35">
        <v>390387.48375000001</v>
      </c>
      <c r="J2007" s="35">
        <v>390387.48375000001</v>
      </c>
      <c r="K2007" s="35">
        <v>390359.96943</v>
      </c>
      <c r="L2007" s="35">
        <f t="shared" si="894"/>
        <v>78.380135080079569</v>
      </c>
      <c r="M2007" s="35">
        <f t="shared" si="895"/>
        <v>99.992952048632361</v>
      </c>
    </row>
    <row r="2008" spans="1:13" ht="38.25">
      <c r="A2008" s="59" t="s">
        <v>804</v>
      </c>
      <c r="B2008" s="28" t="s">
        <v>741</v>
      </c>
      <c r="C2008" s="28" t="s">
        <v>148</v>
      </c>
      <c r="D2008" s="28" t="s">
        <v>150</v>
      </c>
      <c r="E2008" s="28" t="s">
        <v>805</v>
      </c>
      <c r="F2008" s="58" t="s">
        <v>0</v>
      </c>
      <c r="G2008" s="35">
        <f>G2009+G2011</f>
        <v>11405.4</v>
      </c>
      <c r="H2008" s="35">
        <f t="shared" ref="H2008:K2008" si="924">H2009+H2011</f>
        <v>11405.388000000001</v>
      </c>
      <c r="I2008" s="35">
        <f t="shared" si="924"/>
        <v>8546.9130000000005</v>
      </c>
      <c r="J2008" s="35">
        <f t="shared" si="924"/>
        <v>8524.9724100000003</v>
      </c>
      <c r="K2008" s="35">
        <f t="shared" si="924"/>
        <v>8364.3455700000013</v>
      </c>
      <c r="L2008" s="35">
        <f t="shared" si="894"/>
        <v>73.336791085055594</v>
      </c>
      <c r="M2008" s="35">
        <f t="shared" si="895"/>
        <v>97.863937189953859</v>
      </c>
    </row>
    <row r="2009" spans="1:13" ht="25.5">
      <c r="A2009" s="59" t="s">
        <v>64</v>
      </c>
      <c r="B2009" s="28" t="s">
        <v>741</v>
      </c>
      <c r="C2009" s="28" t="s">
        <v>148</v>
      </c>
      <c r="D2009" s="28" t="s">
        <v>150</v>
      </c>
      <c r="E2009" s="28" t="s">
        <v>805</v>
      </c>
      <c r="F2009" s="28" t="s">
        <v>65</v>
      </c>
      <c r="G2009" s="35">
        <f>G2010</f>
        <v>139.1</v>
      </c>
      <c r="H2009" s="35">
        <f t="shared" ref="H2009:K2009" si="925">H2010</f>
        <v>139.13800000000001</v>
      </c>
      <c r="I2009" s="35">
        <f t="shared" si="925"/>
        <v>106.461</v>
      </c>
      <c r="J2009" s="35">
        <f t="shared" si="925"/>
        <v>97.520409999999998</v>
      </c>
      <c r="K2009" s="35">
        <f t="shared" si="925"/>
        <v>93.841269999999994</v>
      </c>
      <c r="L2009" s="35">
        <f t="shared" si="894"/>
        <v>67.444745504463185</v>
      </c>
      <c r="M2009" s="35">
        <f t="shared" si="895"/>
        <v>88.146147415485473</v>
      </c>
    </row>
    <row r="2010" spans="1:13" ht="25.5">
      <c r="A2010" s="59" t="s">
        <v>66</v>
      </c>
      <c r="B2010" s="28" t="s">
        <v>741</v>
      </c>
      <c r="C2010" s="28" t="s">
        <v>148</v>
      </c>
      <c r="D2010" s="28" t="s">
        <v>150</v>
      </c>
      <c r="E2010" s="28" t="s">
        <v>805</v>
      </c>
      <c r="F2010" s="28" t="s">
        <v>67</v>
      </c>
      <c r="G2010" s="35">
        <v>139.1</v>
      </c>
      <c r="H2010" s="35">
        <v>139.13800000000001</v>
      </c>
      <c r="I2010" s="35">
        <v>106.461</v>
      </c>
      <c r="J2010" s="35">
        <v>97.520409999999998</v>
      </c>
      <c r="K2010" s="35">
        <v>93.841269999999994</v>
      </c>
      <c r="L2010" s="35">
        <f t="shared" si="894"/>
        <v>67.444745504463185</v>
      </c>
      <c r="M2010" s="35">
        <f t="shared" si="895"/>
        <v>88.146147415485473</v>
      </c>
    </row>
    <row r="2011" spans="1:13">
      <c r="A2011" s="59" t="s">
        <v>68</v>
      </c>
      <c r="B2011" s="28" t="s">
        <v>741</v>
      </c>
      <c r="C2011" s="28" t="s">
        <v>148</v>
      </c>
      <c r="D2011" s="28" t="s">
        <v>150</v>
      </c>
      <c r="E2011" s="28" t="s">
        <v>805</v>
      </c>
      <c r="F2011" s="28" t="s">
        <v>69</v>
      </c>
      <c r="G2011" s="35">
        <f>G2012</f>
        <v>11266.3</v>
      </c>
      <c r="H2011" s="35">
        <f t="shared" ref="H2011:K2011" si="926">H2012</f>
        <v>11266.25</v>
      </c>
      <c r="I2011" s="35">
        <f t="shared" si="926"/>
        <v>8440.4520000000011</v>
      </c>
      <c r="J2011" s="35">
        <f t="shared" si="926"/>
        <v>8427.4520000000011</v>
      </c>
      <c r="K2011" s="35">
        <f t="shared" si="926"/>
        <v>8270.5043000000005</v>
      </c>
      <c r="L2011" s="35">
        <f t="shared" si="894"/>
        <v>73.409557749916786</v>
      </c>
      <c r="M2011" s="35">
        <f t="shared" si="895"/>
        <v>97.986509490250043</v>
      </c>
    </row>
    <row r="2012" spans="1:13" ht="25.5">
      <c r="A2012" s="59" t="s">
        <v>151</v>
      </c>
      <c r="B2012" s="28" t="s">
        <v>741</v>
      </c>
      <c r="C2012" s="28" t="s">
        <v>148</v>
      </c>
      <c r="D2012" s="28" t="s">
        <v>150</v>
      </c>
      <c r="E2012" s="28" t="s">
        <v>805</v>
      </c>
      <c r="F2012" s="28" t="s">
        <v>152</v>
      </c>
      <c r="G2012" s="35">
        <v>11266.3</v>
      </c>
      <c r="H2012" s="35">
        <f>9754.103+1512.147</f>
        <v>11266.25</v>
      </c>
      <c r="I2012" s="35">
        <f>7173.886+1266.566</f>
        <v>8440.4520000000011</v>
      </c>
      <c r="J2012" s="35">
        <f>7173.886+1253.566</f>
        <v>8427.4520000000011</v>
      </c>
      <c r="K2012" s="35">
        <f>7039.84322+1230.66108</f>
        <v>8270.5043000000005</v>
      </c>
      <c r="L2012" s="35">
        <f t="shared" si="894"/>
        <v>73.409557749916786</v>
      </c>
      <c r="M2012" s="35">
        <f t="shared" si="895"/>
        <v>97.986509490250043</v>
      </c>
    </row>
    <row r="2013" spans="1:13" ht="38.25">
      <c r="A2013" s="59" t="s">
        <v>806</v>
      </c>
      <c r="B2013" s="28" t="s">
        <v>741</v>
      </c>
      <c r="C2013" s="28" t="s">
        <v>148</v>
      </c>
      <c r="D2013" s="28" t="s">
        <v>150</v>
      </c>
      <c r="E2013" s="28" t="s">
        <v>807</v>
      </c>
      <c r="F2013" s="58" t="s">
        <v>0</v>
      </c>
      <c r="G2013" s="35">
        <f>G2014+G2016</f>
        <v>173621.90000000002</v>
      </c>
      <c r="H2013" s="35">
        <f t="shared" ref="H2013:K2013" si="927">H2014+H2016</f>
        <v>173621.899</v>
      </c>
      <c r="I2013" s="35">
        <f t="shared" si="927"/>
        <v>112709.06200000001</v>
      </c>
      <c r="J2013" s="35">
        <f t="shared" si="927"/>
        <v>112709.06200000001</v>
      </c>
      <c r="K2013" s="35">
        <f t="shared" si="927"/>
        <v>112706.09836</v>
      </c>
      <c r="L2013" s="35">
        <f t="shared" si="894"/>
        <v>64.914678971458557</v>
      </c>
      <c r="M2013" s="35">
        <f t="shared" si="895"/>
        <v>99.997370539735314</v>
      </c>
    </row>
    <row r="2014" spans="1:13" ht="25.5">
      <c r="A2014" s="59" t="s">
        <v>64</v>
      </c>
      <c r="B2014" s="28" t="s">
        <v>741</v>
      </c>
      <c r="C2014" s="28" t="s">
        <v>148</v>
      </c>
      <c r="D2014" s="28" t="s">
        <v>150</v>
      </c>
      <c r="E2014" s="28" t="s">
        <v>807</v>
      </c>
      <c r="F2014" s="28" t="s">
        <v>65</v>
      </c>
      <c r="G2014" s="35">
        <f>G2015</f>
        <v>2353.1999999999998</v>
      </c>
      <c r="H2014" s="35">
        <f t="shared" ref="H2014:K2014" si="928">H2015</f>
        <v>2353.2310000000002</v>
      </c>
      <c r="I2014" s="35">
        <f t="shared" si="928"/>
        <v>1437.2660000000001</v>
      </c>
      <c r="J2014" s="35">
        <f t="shared" si="928"/>
        <v>1437.2660000000001</v>
      </c>
      <c r="K2014" s="35">
        <f t="shared" si="928"/>
        <v>1437.2650000000001</v>
      </c>
      <c r="L2014" s="35">
        <f t="shared" si="894"/>
        <v>61.076239434207693</v>
      </c>
      <c r="M2014" s="35">
        <f t="shared" si="895"/>
        <v>99.99993042345676</v>
      </c>
    </row>
    <row r="2015" spans="1:13" ht="25.5">
      <c r="A2015" s="59" t="s">
        <v>66</v>
      </c>
      <c r="B2015" s="28" t="s">
        <v>741</v>
      </c>
      <c r="C2015" s="28" t="s">
        <v>148</v>
      </c>
      <c r="D2015" s="28" t="s">
        <v>150</v>
      </c>
      <c r="E2015" s="28" t="s">
        <v>807</v>
      </c>
      <c r="F2015" s="28" t="s">
        <v>67</v>
      </c>
      <c r="G2015" s="35">
        <v>2353.1999999999998</v>
      </c>
      <c r="H2015" s="35">
        <v>2353.2310000000002</v>
      </c>
      <c r="I2015" s="35">
        <v>1437.2660000000001</v>
      </c>
      <c r="J2015" s="35">
        <v>1437.2660000000001</v>
      </c>
      <c r="K2015" s="35">
        <v>1437.2650000000001</v>
      </c>
      <c r="L2015" s="35">
        <f t="shared" si="894"/>
        <v>61.076239434207693</v>
      </c>
      <c r="M2015" s="35">
        <f t="shared" si="895"/>
        <v>99.99993042345676</v>
      </c>
    </row>
    <row r="2016" spans="1:13">
      <c r="A2016" s="59" t="s">
        <v>68</v>
      </c>
      <c r="B2016" s="28" t="s">
        <v>741</v>
      </c>
      <c r="C2016" s="28" t="s">
        <v>148</v>
      </c>
      <c r="D2016" s="28" t="s">
        <v>150</v>
      </c>
      <c r="E2016" s="28" t="s">
        <v>807</v>
      </c>
      <c r="F2016" s="28" t="s">
        <v>69</v>
      </c>
      <c r="G2016" s="35">
        <f>G2017</f>
        <v>171268.7</v>
      </c>
      <c r="H2016" s="35">
        <f t="shared" ref="H2016:K2016" si="929">H2017</f>
        <v>171268.66800000001</v>
      </c>
      <c r="I2016" s="35">
        <f t="shared" si="929"/>
        <v>111271.796</v>
      </c>
      <c r="J2016" s="35">
        <f t="shared" si="929"/>
        <v>111271.796</v>
      </c>
      <c r="K2016" s="35">
        <f t="shared" si="929"/>
        <v>111268.83336</v>
      </c>
      <c r="L2016" s="35">
        <f t="shared" si="894"/>
        <v>64.967419119532124</v>
      </c>
      <c r="M2016" s="35">
        <f t="shared" si="895"/>
        <v>99.997337474448599</v>
      </c>
    </row>
    <row r="2017" spans="1:13" ht="25.5">
      <c r="A2017" s="59" t="s">
        <v>151</v>
      </c>
      <c r="B2017" s="28" t="s">
        <v>741</v>
      </c>
      <c r="C2017" s="28" t="s">
        <v>148</v>
      </c>
      <c r="D2017" s="28" t="s">
        <v>150</v>
      </c>
      <c r="E2017" s="28" t="s">
        <v>807</v>
      </c>
      <c r="F2017" s="28" t="s">
        <v>152</v>
      </c>
      <c r="G2017" s="35">
        <v>171268.7</v>
      </c>
      <c r="H2017" s="35">
        <v>171268.66800000001</v>
      </c>
      <c r="I2017" s="35">
        <v>111271.796</v>
      </c>
      <c r="J2017" s="35">
        <v>111271.796</v>
      </c>
      <c r="K2017" s="35">
        <v>111268.83336</v>
      </c>
      <c r="L2017" s="35">
        <f t="shared" si="894"/>
        <v>64.967419119532124</v>
      </c>
      <c r="M2017" s="35">
        <f t="shared" si="895"/>
        <v>99.997337474448599</v>
      </c>
    </row>
    <row r="2018" spans="1:13" ht="38.25">
      <c r="A2018" s="59" t="s">
        <v>808</v>
      </c>
      <c r="B2018" s="28" t="s">
        <v>741</v>
      </c>
      <c r="C2018" s="28" t="s">
        <v>148</v>
      </c>
      <c r="D2018" s="28" t="s">
        <v>150</v>
      </c>
      <c r="E2018" s="28" t="s">
        <v>809</v>
      </c>
      <c r="F2018" s="58" t="s">
        <v>0</v>
      </c>
      <c r="G2018" s="35">
        <f>G2019+G2021</f>
        <v>1683392.7</v>
      </c>
      <c r="H2018" s="35">
        <f t="shared" ref="H2018:K2018" si="930">H2019+H2021</f>
        <v>1683392.71575</v>
      </c>
      <c r="I2018" s="35">
        <f t="shared" si="930"/>
        <v>1334888.8002000002</v>
      </c>
      <c r="J2018" s="35">
        <f t="shared" si="930"/>
        <v>1334888.79969</v>
      </c>
      <c r="K2018" s="35">
        <f t="shared" si="930"/>
        <v>1332755.2438700001</v>
      </c>
      <c r="L2018" s="35">
        <f t="shared" si="894"/>
        <v>79.17078596102985</v>
      </c>
      <c r="M2018" s="35">
        <f t="shared" si="895"/>
        <v>99.840169733263153</v>
      </c>
    </row>
    <row r="2019" spans="1:13" ht="25.5">
      <c r="A2019" s="59" t="s">
        <v>64</v>
      </c>
      <c r="B2019" s="28" t="s">
        <v>741</v>
      </c>
      <c r="C2019" s="28" t="s">
        <v>148</v>
      </c>
      <c r="D2019" s="28" t="s">
        <v>150</v>
      </c>
      <c r="E2019" s="28" t="s">
        <v>809</v>
      </c>
      <c r="F2019" s="28" t="s">
        <v>65</v>
      </c>
      <c r="G2019" s="35">
        <f>G2020</f>
        <v>27155.4</v>
      </c>
      <c r="H2019" s="35">
        <f t="shared" ref="H2019:K2019" si="931">H2020</f>
        <v>27155.442999999999</v>
      </c>
      <c r="I2019" s="35">
        <f t="shared" si="931"/>
        <v>17870.681</v>
      </c>
      <c r="J2019" s="35">
        <f t="shared" si="931"/>
        <v>17870.681</v>
      </c>
      <c r="K2019" s="35">
        <f t="shared" si="931"/>
        <v>17822.079419999998</v>
      </c>
      <c r="L2019" s="35">
        <f t="shared" ref="L2019:L2082" si="932">K2019/H2019*100</f>
        <v>65.629860724422713</v>
      </c>
      <c r="M2019" s="35">
        <f t="shared" ref="M2019:M2082" si="933">K2019/I2019*100</f>
        <v>99.728037336685702</v>
      </c>
    </row>
    <row r="2020" spans="1:13" ht="25.5">
      <c r="A2020" s="59" t="s">
        <v>66</v>
      </c>
      <c r="B2020" s="28" t="s">
        <v>741</v>
      </c>
      <c r="C2020" s="28" t="s">
        <v>148</v>
      </c>
      <c r="D2020" s="28" t="s">
        <v>150</v>
      </c>
      <c r="E2020" s="28" t="s">
        <v>809</v>
      </c>
      <c r="F2020" s="28" t="s">
        <v>67</v>
      </c>
      <c r="G2020" s="35">
        <v>27155.4</v>
      </c>
      <c r="H2020" s="35">
        <v>27155.442999999999</v>
      </c>
      <c r="I2020" s="35">
        <v>17870.681</v>
      </c>
      <c r="J2020" s="35">
        <v>17870.681</v>
      </c>
      <c r="K2020" s="35">
        <v>17822.079419999998</v>
      </c>
      <c r="L2020" s="35">
        <f t="shared" si="932"/>
        <v>65.629860724422713</v>
      </c>
      <c r="M2020" s="35">
        <f t="shared" si="933"/>
        <v>99.728037336685702</v>
      </c>
    </row>
    <row r="2021" spans="1:13">
      <c r="A2021" s="59" t="s">
        <v>68</v>
      </c>
      <c r="B2021" s="28" t="s">
        <v>741</v>
      </c>
      <c r="C2021" s="28" t="s">
        <v>148</v>
      </c>
      <c r="D2021" s="28" t="s">
        <v>150</v>
      </c>
      <c r="E2021" s="28" t="s">
        <v>809</v>
      </c>
      <c r="F2021" s="28" t="s">
        <v>69</v>
      </c>
      <c r="G2021" s="35">
        <f>G2022</f>
        <v>1656237.3</v>
      </c>
      <c r="H2021" s="35">
        <f t="shared" ref="H2021:K2021" si="934">H2022</f>
        <v>1656237.27275</v>
      </c>
      <c r="I2021" s="35">
        <f t="shared" si="934"/>
        <v>1317018.1192000001</v>
      </c>
      <c r="J2021" s="35">
        <f t="shared" si="934"/>
        <v>1317018.1186899999</v>
      </c>
      <c r="K2021" s="35">
        <f t="shared" si="934"/>
        <v>1314933.16445</v>
      </c>
      <c r="L2021" s="35">
        <f t="shared" si="932"/>
        <v>79.392801145375628</v>
      </c>
      <c r="M2021" s="35">
        <f t="shared" si="933"/>
        <v>99.841691263043018</v>
      </c>
    </row>
    <row r="2022" spans="1:13" ht="25.5">
      <c r="A2022" s="59" t="s">
        <v>151</v>
      </c>
      <c r="B2022" s="28" t="s">
        <v>741</v>
      </c>
      <c r="C2022" s="28" t="s">
        <v>148</v>
      </c>
      <c r="D2022" s="28" t="s">
        <v>150</v>
      </c>
      <c r="E2022" s="28" t="s">
        <v>809</v>
      </c>
      <c r="F2022" s="28" t="s">
        <v>152</v>
      </c>
      <c r="G2022" s="35">
        <v>1656237.3</v>
      </c>
      <c r="H2022" s="35">
        <f>1639691.58975+16545.683</f>
        <v>1656237.27275</v>
      </c>
      <c r="I2022" s="35">
        <f>1304017.0632+13001.056</f>
        <v>1317018.1192000001</v>
      </c>
      <c r="J2022" s="35">
        <f>1304017.06319+13001.0555</f>
        <v>1317018.1186899999</v>
      </c>
      <c r="K2022" s="35">
        <f>1303999.91045+10933.254</f>
        <v>1314933.16445</v>
      </c>
      <c r="L2022" s="35">
        <f t="shared" si="932"/>
        <v>79.392801145375628</v>
      </c>
      <c r="M2022" s="35">
        <f t="shared" si="933"/>
        <v>99.841691263043018</v>
      </c>
    </row>
    <row r="2023" spans="1:13" ht="38.25">
      <c r="A2023" s="59" t="s">
        <v>810</v>
      </c>
      <c r="B2023" s="28" t="s">
        <v>741</v>
      </c>
      <c r="C2023" s="28" t="s">
        <v>148</v>
      </c>
      <c r="D2023" s="28" t="s">
        <v>150</v>
      </c>
      <c r="E2023" s="28" t="s">
        <v>811</v>
      </c>
      <c r="F2023" s="58" t="s">
        <v>0</v>
      </c>
      <c r="G2023" s="35">
        <f>G2024</f>
        <v>49.3</v>
      </c>
      <c r="H2023" s="35">
        <f t="shared" ref="H2023:K2024" si="935">H2024</f>
        <v>49.283000000000001</v>
      </c>
      <c r="I2023" s="35">
        <f t="shared" si="935"/>
        <v>39.4</v>
      </c>
      <c r="J2023" s="35">
        <f t="shared" si="935"/>
        <v>27.091000000000001</v>
      </c>
      <c r="K2023" s="35">
        <f t="shared" si="935"/>
        <v>24.780449999999998</v>
      </c>
      <c r="L2023" s="35">
        <f t="shared" si="932"/>
        <v>50.281943063531031</v>
      </c>
      <c r="M2023" s="35">
        <f t="shared" si="933"/>
        <v>62.894543147208118</v>
      </c>
    </row>
    <row r="2024" spans="1:13">
      <c r="A2024" s="59" t="s">
        <v>68</v>
      </c>
      <c r="B2024" s="28" t="s">
        <v>741</v>
      </c>
      <c r="C2024" s="28" t="s">
        <v>148</v>
      </c>
      <c r="D2024" s="28" t="s">
        <v>150</v>
      </c>
      <c r="E2024" s="28" t="s">
        <v>811</v>
      </c>
      <c r="F2024" s="28" t="s">
        <v>69</v>
      </c>
      <c r="G2024" s="35">
        <f>G2025</f>
        <v>49.3</v>
      </c>
      <c r="H2024" s="35">
        <f t="shared" si="935"/>
        <v>49.283000000000001</v>
      </c>
      <c r="I2024" s="35">
        <f t="shared" si="935"/>
        <v>39.4</v>
      </c>
      <c r="J2024" s="35">
        <f t="shared" si="935"/>
        <v>27.091000000000001</v>
      </c>
      <c r="K2024" s="35">
        <f t="shared" si="935"/>
        <v>24.780449999999998</v>
      </c>
      <c r="L2024" s="35">
        <f t="shared" si="932"/>
        <v>50.281943063531031</v>
      </c>
      <c r="M2024" s="35">
        <f t="shared" si="933"/>
        <v>62.894543147208118</v>
      </c>
    </row>
    <row r="2025" spans="1:13" ht="25.5">
      <c r="A2025" s="59" t="s">
        <v>151</v>
      </c>
      <c r="B2025" s="28" t="s">
        <v>741</v>
      </c>
      <c r="C2025" s="28" t="s">
        <v>148</v>
      </c>
      <c r="D2025" s="28" t="s">
        <v>150</v>
      </c>
      <c r="E2025" s="28" t="s">
        <v>811</v>
      </c>
      <c r="F2025" s="28" t="s">
        <v>152</v>
      </c>
      <c r="G2025" s="35">
        <v>49.3</v>
      </c>
      <c r="H2025" s="35">
        <v>49.283000000000001</v>
      </c>
      <c r="I2025" s="35">
        <v>39.4</v>
      </c>
      <c r="J2025" s="35">
        <v>27.091000000000001</v>
      </c>
      <c r="K2025" s="35">
        <v>24.780449999999998</v>
      </c>
      <c r="L2025" s="35">
        <f t="shared" si="932"/>
        <v>50.281943063531031</v>
      </c>
      <c r="M2025" s="35">
        <f t="shared" si="933"/>
        <v>62.894543147208118</v>
      </c>
    </row>
    <row r="2026" spans="1:13" ht="51">
      <c r="A2026" s="59" t="s">
        <v>812</v>
      </c>
      <c r="B2026" s="28" t="s">
        <v>741</v>
      </c>
      <c r="C2026" s="28" t="s">
        <v>148</v>
      </c>
      <c r="D2026" s="28" t="s">
        <v>150</v>
      </c>
      <c r="E2026" s="28" t="s">
        <v>813</v>
      </c>
      <c r="F2026" s="58" t="s">
        <v>0</v>
      </c>
      <c r="G2026" s="35">
        <f>G2027+G2029</f>
        <v>15481.8</v>
      </c>
      <c r="H2026" s="35">
        <f t="shared" ref="H2026:K2026" si="936">H2027+H2029</f>
        <v>15481.800000000001</v>
      </c>
      <c r="I2026" s="35">
        <f t="shared" si="936"/>
        <v>11357.065999999999</v>
      </c>
      <c r="J2026" s="35">
        <f t="shared" si="936"/>
        <v>11331.261999999999</v>
      </c>
      <c r="K2026" s="35">
        <f t="shared" si="936"/>
        <v>11245.97466</v>
      </c>
      <c r="L2026" s="35">
        <f t="shared" si="932"/>
        <v>72.639968608301359</v>
      </c>
      <c r="M2026" s="35">
        <f t="shared" si="933"/>
        <v>99.021830638300429</v>
      </c>
    </row>
    <row r="2027" spans="1:13" ht="25.5">
      <c r="A2027" s="59" t="s">
        <v>64</v>
      </c>
      <c r="B2027" s="28" t="s">
        <v>741</v>
      </c>
      <c r="C2027" s="28" t="s">
        <v>148</v>
      </c>
      <c r="D2027" s="28" t="s">
        <v>150</v>
      </c>
      <c r="E2027" s="28" t="s">
        <v>813</v>
      </c>
      <c r="F2027" s="28" t="s">
        <v>65</v>
      </c>
      <c r="G2027" s="35">
        <f>G2028</f>
        <v>229.3</v>
      </c>
      <c r="H2027" s="35">
        <f t="shared" ref="H2027:K2027" si="937">H2028</f>
        <v>229.279</v>
      </c>
      <c r="I2027" s="35">
        <f t="shared" si="937"/>
        <v>180.1</v>
      </c>
      <c r="J2027" s="35">
        <f t="shared" si="937"/>
        <v>154.29599999999999</v>
      </c>
      <c r="K2027" s="35">
        <f t="shared" si="937"/>
        <v>154.29492999999999</v>
      </c>
      <c r="L2027" s="35">
        <f t="shared" si="932"/>
        <v>67.295709593988107</v>
      </c>
      <c r="M2027" s="35">
        <f t="shared" si="933"/>
        <v>85.671810105496945</v>
      </c>
    </row>
    <row r="2028" spans="1:13" ht="25.5">
      <c r="A2028" s="59" t="s">
        <v>66</v>
      </c>
      <c r="B2028" s="28" t="s">
        <v>741</v>
      </c>
      <c r="C2028" s="28" t="s">
        <v>148</v>
      </c>
      <c r="D2028" s="28" t="s">
        <v>150</v>
      </c>
      <c r="E2028" s="28" t="s">
        <v>813</v>
      </c>
      <c r="F2028" s="28" t="s">
        <v>67</v>
      </c>
      <c r="G2028" s="35">
        <v>229.3</v>
      </c>
      <c r="H2028" s="35">
        <v>229.279</v>
      </c>
      <c r="I2028" s="35">
        <v>180.1</v>
      </c>
      <c r="J2028" s="35">
        <v>154.29599999999999</v>
      </c>
      <c r="K2028" s="35">
        <v>154.29492999999999</v>
      </c>
      <c r="L2028" s="35">
        <f t="shared" si="932"/>
        <v>67.295709593988107</v>
      </c>
      <c r="M2028" s="35">
        <f t="shared" si="933"/>
        <v>85.671810105496945</v>
      </c>
    </row>
    <row r="2029" spans="1:13">
      <c r="A2029" s="59" t="s">
        <v>68</v>
      </c>
      <c r="B2029" s="28" t="s">
        <v>741</v>
      </c>
      <c r="C2029" s="28" t="s">
        <v>148</v>
      </c>
      <c r="D2029" s="28" t="s">
        <v>150</v>
      </c>
      <c r="E2029" s="28" t="s">
        <v>813</v>
      </c>
      <c r="F2029" s="28" t="s">
        <v>69</v>
      </c>
      <c r="G2029" s="35">
        <f>G2030</f>
        <v>15252.5</v>
      </c>
      <c r="H2029" s="35">
        <f t="shared" ref="H2029:K2029" si="938">H2030</f>
        <v>15252.521000000001</v>
      </c>
      <c r="I2029" s="35">
        <f t="shared" si="938"/>
        <v>11176.965999999999</v>
      </c>
      <c r="J2029" s="35">
        <f t="shared" si="938"/>
        <v>11176.965999999999</v>
      </c>
      <c r="K2029" s="35">
        <f t="shared" si="938"/>
        <v>11091.67973</v>
      </c>
      <c r="L2029" s="35">
        <f t="shared" si="932"/>
        <v>72.72030459751538</v>
      </c>
      <c r="M2029" s="35">
        <f t="shared" si="933"/>
        <v>99.236946144418809</v>
      </c>
    </row>
    <row r="2030" spans="1:13" ht="25.5">
      <c r="A2030" s="59" t="s">
        <v>151</v>
      </c>
      <c r="B2030" s="28" t="s">
        <v>741</v>
      </c>
      <c r="C2030" s="28" t="s">
        <v>148</v>
      </c>
      <c r="D2030" s="28" t="s">
        <v>150</v>
      </c>
      <c r="E2030" s="28" t="s">
        <v>813</v>
      </c>
      <c r="F2030" s="28" t="s">
        <v>152</v>
      </c>
      <c r="G2030" s="35">
        <v>15252.5</v>
      </c>
      <c r="H2030" s="35">
        <f>13955.43142+1297.08958</f>
        <v>15252.521000000001</v>
      </c>
      <c r="I2030" s="35">
        <f>10320.07542+856.89058</f>
        <v>11176.965999999999</v>
      </c>
      <c r="J2030" s="35">
        <f>10320.07542+856.89058</f>
        <v>11176.965999999999</v>
      </c>
      <c r="K2030" s="35">
        <f>10319.90055+771.77918</f>
        <v>11091.67973</v>
      </c>
      <c r="L2030" s="35">
        <f t="shared" si="932"/>
        <v>72.72030459751538</v>
      </c>
      <c r="M2030" s="35">
        <f t="shared" si="933"/>
        <v>99.236946144418809</v>
      </c>
    </row>
    <row r="2031" spans="1:13" ht="63.75">
      <c r="A2031" s="59" t="s">
        <v>814</v>
      </c>
      <c r="B2031" s="28" t="s">
        <v>741</v>
      </c>
      <c r="C2031" s="28" t="s">
        <v>148</v>
      </c>
      <c r="D2031" s="28" t="s">
        <v>150</v>
      </c>
      <c r="E2031" s="28" t="s">
        <v>815</v>
      </c>
      <c r="F2031" s="58" t="s">
        <v>0</v>
      </c>
      <c r="G2031" s="35">
        <f>G2032+G2034</f>
        <v>412.20000000000005</v>
      </c>
      <c r="H2031" s="35">
        <f t="shared" ref="H2031:K2031" si="939">H2032+H2034</f>
        <v>412.178</v>
      </c>
      <c r="I2031" s="35">
        <f t="shared" si="939"/>
        <v>329.3</v>
      </c>
      <c r="J2031" s="35">
        <f t="shared" si="939"/>
        <v>290.048</v>
      </c>
      <c r="K2031" s="35">
        <f t="shared" si="939"/>
        <v>290.03710000000001</v>
      </c>
      <c r="L2031" s="35">
        <f t="shared" si="932"/>
        <v>70.366953112490236</v>
      </c>
      <c r="M2031" s="35">
        <f t="shared" si="933"/>
        <v>88.076860006073488</v>
      </c>
    </row>
    <row r="2032" spans="1:13" ht="25.5">
      <c r="A2032" s="59" t="s">
        <v>64</v>
      </c>
      <c r="B2032" s="28" t="s">
        <v>741</v>
      </c>
      <c r="C2032" s="28" t="s">
        <v>148</v>
      </c>
      <c r="D2032" s="28" t="s">
        <v>150</v>
      </c>
      <c r="E2032" s="28" t="s">
        <v>815</v>
      </c>
      <c r="F2032" s="28" t="s">
        <v>65</v>
      </c>
      <c r="G2032" s="35">
        <f>G2033</f>
        <v>6.6</v>
      </c>
      <c r="H2032" s="35">
        <f t="shared" ref="H2032:K2032" si="940">H2033</f>
        <v>6.6109999999999998</v>
      </c>
      <c r="I2032" s="35">
        <f t="shared" si="940"/>
        <v>5.3</v>
      </c>
      <c r="J2032" s="35">
        <f t="shared" si="940"/>
        <v>3.71</v>
      </c>
      <c r="K2032" s="35">
        <f t="shared" si="940"/>
        <v>3.69916</v>
      </c>
      <c r="L2032" s="35">
        <f t="shared" si="932"/>
        <v>55.954621086068677</v>
      </c>
      <c r="M2032" s="35">
        <f t="shared" si="933"/>
        <v>69.795471698113204</v>
      </c>
    </row>
    <row r="2033" spans="1:13" ht="25.5">
      <c r="A2033" s="59" t="s">
        <v>66</v>
      </c>
      <c r="B2033" s="28" t="s">
        <v>741</v>
      </c>
      <c r="C2033" s="28" t="s">
        <v>148</v>
      </c>
      <c r="D2033" s="28" t="s">
        <v>150</v>
      </c>
      <c r="E2033" s="28" t="s">
        <v>815</v>
      </c>
      <c r="F2033" s="28" t="s">
        <v>67</v>
      </c>
      <c r="G2033" s="35">
        <v>6.6</v>
      </c>
      <c r="H2033" s="35">
        <v>6.6109999999999998</v>
      </c>
      <c r="I2033" s="35">
        <v>5.3</v>
      </c>
      <c r="J2033" s="35">
        <v>3.71</v>
      </c>
      <c r="K2033" s="35">
        <v>3.69916</v>
      </c>
      <c r="L2033" s="35">
        <f t="shared" si="932"/>
        <v>55.954621086068677</v>
      </c>
      <c r="M2033" s="35">
        <f t="shared" si="933"/>
        <v>69.795471698113204</v>
      </c>
    </row>
    <row r="2034" spans="1:13">
      <c r="A2034" s="59" t="s">
        <v>68</v>
      </c>
      <c r="B2034" s="28" t="s">
        <v>741</v>
      </c>
      <c r="C2034" s="28" t="s">
        <v>148</v>
      </c>
      <c r="D2034" s="28" t="s">
        <v>150</v>
      </c>
      <c r="E2034" s="28" t="s">
        <v>815</v>
      </c>
      <c r="F2034" s="28" t="s">
        <v>69</v>
      </c>
      <c r="G2034" s="35">
        <f>G2035</f>
        <v>405.6</v>
      </c>
      <c r="H2034" s="35">
        <f t="shared" ref="H2034:K2034" si="941">H2035</f>
        <v>405.56700000000001</v>
      </c>
      <c r="I2034" s="35">
        <f t="shared" si="941"/>
        <v>324</v>
      </c>
      <c r="J2034" s="35">
        <f t="shared" si="941"/>
        <v>286.33800000000002</v>
      </c>
      <c r="K2034" s="35">
        <f t="shared" si="941"/>
        <v>286.33794</v>
      </c>
      <c r="L2034" s="35">
        <f t="shared" si="932"/>
        <v>70.601883289320881</v>
      </c>
      <c r="M2034" s="35">
        <f t="shared" si="933"/>
        <v>88.375907407407411</v>
      </c>
    </row>
    <row r="2035" spans="1:13" ht="25.5">
      <c r="A2035" s="59" t="s">
        <v>151</v>
      </c>
      <c r="B2035" s="28" t="s">
        <v>741</v>
      </c>
      <c r="C2035" s="28" t="s">
        <v>148</v>
      </c>
      <c r="D2035" s="28" t="s">
        <v>150</v>
      </c>
      <c r="E2035" s="28" t="s">
        <v>815</v>
      </c>
      <c r="F2035" s="28" t="s">
        <v>152</v>
      </c>
      <c r="G2035" s="35">
        <v>405.6</v>
      </c>
      <c r="H2035" s="35">
        <v>405.56700000000001</v>
      </c>
      <c r="I2035" s="35">
        <v>324</v>
      </c>
      <c r="J2035" s="35">
        <v>286.33800000000002</v>
      </c>
      <c r="K2035" s="35">
        <v>286.33794</v>
      </c>
      <c r="L2035" s="35">
        <f t="shared" si="932"/>
        <v>70.601883289320881</v>
      </c>
      <c r="M2035" s="35">
        <f t="shared" si="933"/>
        <v>88.375907407407411</v>
      </c>
    </row>
    <row r="2036" spans="1:13" ht="38.25">
      <c r="A2036" s="59" t="s">
        <v>816</v>
      </c>
      <c r="B2036" s="28" t="s">
        <v>741</v>
      </c>
      <c r="C2036" s="28" t="s">
        <v>148</v>
      </c>
      <c r="D2036" s="28" t="s">
        <v>150</v>
      </c>
      <c r="E2036" s="28" t="s">
        <v>817</v>
      </c>
      <c r="F2036" s="58" t="s">
        <v>0</v>
      </c>
      <c r="G2036" s="35">
        <f>G2037+G2039</f>
        <v>55393.700000000004</v>
      </c>
      <c r="H2036" s="35">
        <f t="shared" ref="H2036:K2036" si="942">H2037+H2039</f>
        <v>55393.718000000001</v>
      </c>
      <c r="I2036" s="35">
        <f t="shared" si="942"/>
        <v>40362.303999999996</v>
      </c>
      <c r="J2036" s="35">
        <f t="shared" si="942"/>
        <v>40361.663</v>
      </c>
      <c r="K2036" s="35">
        <f t="shared" si="942"/>
        <v>40360.16444</v>
      </c>
      <c r="L2036" s="35">
        <f t="shared" si="932"/>
        <v>72.86054429493251</v>
      </c>
      <c r="M2036" s="35">
        <f t="shared" si="933"/>
        <v>99.994699113311285</v>
      </c>
    </row>
    <row r="2037" spans="1:13" ht="25.5">
      <c r="A2037" s="59" t="s">
        <v>64</v>
      </c>
      <c r="B2037" s="28" t="s">
        <v>741</v>
      </c>
      <c r="C2037" s="28" t="s">
        <v>148</v>
      </c>
      <c r="D2037" s="28" t="s">
        <v>150</v>
      </c>
      <c r="E2037" s="28" t="s">
        <v>817</v>
      </c>
      <c r="F2037" s="28" t="s">
        <v>65</v>
      </c>
      <c r="G2037" s="35">
        <f>G2038</f>
        <v>838.4</v>
      </c>
      <c r="H2037" s="35">
        <f t="shared" ref="H2037:K2037" si="943">H2038</f>
        <v>838.40200000000004</v>
      </c>
      <c r="I2037" s="35">
        <f t="shared" si="943"/>
        <v>465.66399999999999</v>
      </c>
      <c r="J2037" s="35">
        <f t="shared" si="943"/>
        <v>465.66399999999999</v>
      </c>
      <c r="K2037" s="35">
        <f t="shared" si="943"/>
        <v>465.66174000000001</v>
      </c>
      <c r="L2037" s="35">
        <f t="shared" si="932"/>
        <v>55.541582677522236</v>
      </c>
      <c r="M2037" s="35">
        <f t="shared" si="933"/>
        <v>99.999514671522817</v>
      </c>
    </row>
    <row r="2038" spans="1:13" ht="25.5">
      <c r="A2038" s="59" t="s">
        <v>66</v>
      </c>
      <c r="B2038" s="28" t="s">
        <v>741</v>
      </c>
      <c r="C2038" s="28" t="s">
        <v>148</v>
      </c>
      <c r="D2038" s="28" t="s">
        <v>150</v>
      </c>
      <c r="E2038" s="28" t="s">
        <v>817</v>
      </c>
      <c r="F2038" s="28" t="s">
        <v>67</v>
      </c>
      <c r="G2038" s="35">
        <v>838.4</v>
      </c>
      <c r="H2038" s="35">
        <v>838.40200000000004</v>
      </c>
      <c r="I2038" s="35">
        <v>465.66399999999999</v>
      </c>
      <c r="J2038" s="35">
        <v>465.66399999999999</v>
      </c>
      <c r="K2038" s="35">
        <v>465.66174000000001</v>
      </c>
      <c r="L2038" s="35">
        <f t="shared" si="932"/>
        <v>55.541582677522236</v>
      </c>
      <c r="M2038" s="35">
        <f t="shared" si="933"/>
        <v>99.999514671522817</v>
      </c>
    </row>
    <row r="2039" spans="1:13">
      <c r="A2039" s="59" t="s">
        <v>68</v>
      </c>
      <c r="B2039" s="28" t="s">
        <v>741</v>
      </c>
      <c r="C2039" s="28" t="s">
        <v>148</v>
      </c>
      <c r="D2039" s="28" t="s">
        <v>150</v>
      </c>
      <c r="E2039" s="28" t="s">
        <v>817</v>
      </c>
      <c r="F2039" s="28" t="s">
        <v>69</v>
      </c>
      <c r="G2039" s="36">
        <f>G2040</f>
        <v>54555.3</v>
      </c>
      <c r="H2039" s="36">
        <f t="shared" ref="H2039:K2039" si="944">H2040</f>
        <v>54555.315999999999</v>
      </c>
      <c r="I2039" s="36">
        <f t="shared" si="944"/>
        <v>39896.639999999999</v>
      </c>
      <c r="J2039" s="36">
        <f t="shared" si="944"/>
        <v>39895.999000000003</v>
      </c>
      <c r="K2039" s="36">
        <f t="shared" si="944"/>
        <v>39894.502699999997</v>
      </c>
      <c r="L2039" s="35">
        <f t="shared" si="932"/>
        <v>73.126700796673958</v>
      </c>
      <c r="M2039" s="35">
        <f t="shared" si="933"/>
        <v>99.994642907272393</v>
      </c>
    </row>
    <row r="2040" spans="1:13" ht="25.5">
      <c r="A2040" s="59" t="s">
        <v>151</v>
      </c>
      <c r="B2040" s="28" t="s">
        <v>741</v>
      </c>
      <c r="C2040" s="28" t="s">
        <v>148</v>
      </c>
      <c r="D2040" s="28" t="s">
        <v>150</v>
      </c>
      <c r="E2040" s="28" t="s">
        <v>817</v>
      </c>
      <c r="F2040" s="28" t="s">
        <v>152</v>
      </c>
      <c r="G2040" s="35">
        <v>54555.3</v>
      </c>
      <c r="H2040" s="35">
        <v>54555.315999999999</v>
      </c>
      <c r="I2040" s="35">
        <v>39896.639999999999</v>
      </c>
      <c r="J2040" s="35">
        <v>39895.999000000003</v>
      </c>
      <c r="K2040" s="35">
        <v>39894.502699999997</v>
      </c>
      <c r="L2040" s="35">
        <f t="shared" si="932"/>
        <v>73.126700796673958</v>
      </c>
      <c r="M2040" s="35">
        <f t="shared" si="933"/>
        <v>99.994642907272393</v>
      </c>
    </row>
    <row r="2041" spans="1:13">
      <c r="A2041" s="59" t="s">
        <v>818</v>
      </c>
      <c r="B2041" s="28" t="s">
        <v>741</v>
      </c>
      <c r="C2041" s="28" t="s">
        <v>148</v>
      </c>
      <c r="D2041" s="28" t="s">
        <v>150</v>
      </c>
      <c r="E2041" s="28" t="s">
        <v>819</v>
      </c>
      <c r="F2041" s="58" t="s">
        <v>0</v>
      </c>
      <c r="G2041" s="35">
        <f>G2042+G2044</f>
        <v>48765.599999999999</v>
      </c>
      <c r="H2041" s="35">
        <f t="shared" ref="H2041:K2041" si="945">H2042+H2044</f>
        <v>48765.614000000001</v>
      </c>
      <c r="I2041" s="35">
        <f t="shared" si="945"/>
        <v>36245.738999999994</v>
      </c>
      <c r="J2041" s="35">
        <f t="shared" si="945"/>
        <v>36229.938999999998</v>
      </c>
      <c r="K2041" s="35">
        <f t="shared" si="945"/>
        <v>35590.62803</v>
      </c>
      <c r="L2041" s="35">
        <f t="shared" si="932"/>
        <v>72.983040939461972</v>
      </c>
      <c r="M2041" s="35">
        <f t="shared" si="933"/>
        <v>98.192584871838335</v>
      </c>
    </row>
    <row r="2042" spans="1:13" ht="25.5">
      <c r="A2042" s="59" t="s">
        <v>64</v>
      </c>
      <c r="B2042" s="28" t="s">
        <v>741</v>
      </c>
      <c r="C2042" s="28" t="s">
        <v>148</v>
      </c>
      <c r="D2042" s="28" t="s">
        <v>150</v>
      </c>
      <c r="E2042" s="28" t="s">
        <v>819</v>
      </c>
      <c r="F2042" s="28" t="s">
        <v>65</v>
      </c>
      <c r="G2042" s="35">
        <f>G2043</f>
        <v>571.20000000000005</v>
      </c>
      <c r="H2042" s="35">
        <f t="shared" ref="H2042:K2042" si="946">H2043</f>
        <v>571.21400000000006</v>
      </c>
      <c r="I2042" s="35">
        <f t="shared" si="946"/>
        <v>402.7</v>
      </c>
      <c r="J2042" s="35">
        <f t="shared" si="946"/>
        <v>386.9</v>
      </c>
      <c r="K2042" s="35">
        <f t="shared" si="946"/>
        <v>353.13092999999998</v>
      </c>
      <c r="L2042" s="35">
        <f t="shared" si="932"/>
        <v>61.821126583031912</v>
      </c>
      <c r="M2042" s="35">
        <f t="shared" si="933"/>
        <v>87.690819468587037</v>
      </c>
    </row>
    <row r="2043" spans="1:13" ht="25.5">
      <c r="A2043" s="59" t="s">
        <v>66</v>
      </c>
      <c r="B2043" s="28" t="s">
        <v>741</v>
      </c>
      <c r="C2043" s="28" t="s">
        <v>148</v>
      </c>
      <c r="D2043" s="28" t="s">
        <v>150</v>
      </c>
      <c r="E2043" s="28" t="s">
        <v>819</v>
      </c>
      <c r="F2043" s="28" t="s">
        <v>67</v>
      </c>
      <c r="G2043" s="35">
        <v>571.20000000000005</v>
      </c>
      <c r="H2043" s="35">
        <v>571.21400000000006</v>
      </c>
      <c r="I2043" s="35">
        <v>402.7</v>
      </c>
      <c r="J2043" s="35">
        <v>386.9</v>
      </c>
      <c r="K2043" s="35">
        <v>353.13092999999998</v>
      </c>
      <c r="L2043" s="35">
        <f t="shared" si="932"/>
        <v>61.821126583031912</v>
      </c>
      <c r="M2043" s="35">
        <f t="shared" si="933"/>
        <v>87.690819468587037</v>
      </c>
    </row>
    <row r="2044" spans="1:13">
      <c r="A2044" s="59" t="s">
        <v>68</v>
      </c>
      <c r="B2044" s="28" t="s">
        <v>741</v>
      </c>
      <c r="C2044" s="28" t="s">
        <v>148</v>
      </c>
      <c r="D2044" s="28" t="s">
        <v>150</v>
      </c>
      <c r="E2044" s="28" t="s">
        <v>819</v>
      </c>
      <c r="F2044" s="28" t="s">
        <v>69</v>
      </c>
      <c r="G2044" s="35">
        <f>G2045</f>
        <v>48194.400000000001</v>
      </c>
      <c r="H2044" s="35">
        <f t="shared" ref="H2044:K2044" si="947">H2045</f>
        <v>48194.400000000001</v>
      </c>
      <c r="I2044" s="35">
        <f t="shared" si="947"/>
        <v>35843.038999999997</v>
      </c>
      <c r="J2044" s="35">
        <f t="shared" si="947"/>
        <v>35843.038999999997</v>
      </c>
      <c r="K2044" s="35">
        <f t="shared" si="947"/>
        <v>35237.497100000001</v>
      </c>
      <c r="L2044" s="35">
        <f t="shared" si="932"/>
        <v>73.115335184170775</v>
      </c>
      <c r="M2044" s="35">
        <f t="shared" si="933"/>
        <v>98.310573218972877</v>
      </c>
    </row>
    <row r="2045" spans="1:13" ht="25.5">
      <c r="A2045" s="59" t="s">
        <v>151</v>
      </c>
      <c r="B2045" s="28" t="s">
        <v>741</v>
      </c>
      <c r="C2045" s="28" t="s">
        <v>148</v>
      </c>
      <c r="D2045" s="28" t="s">
        <v>150</v>
      </c>
      <c r="E2045" s="28" t="s">
        <v>819</v>
      </c>
      <c r="F2045" s="28" t="s">
        <v>152</v>
      </c>
      <c r="G2045" s="35">
        <v>48194.400000000001</v>
      </c>
      <c r="H2045" s="35">
        <f>36694.4+11500</f>
        <v>48194.400000000001</v>
      </c>
      <c r="I2045" s="35">
        <f>27701.44+8141.599</f>
        <v>35843.038999999997</v>
      </c>
      <c r="J2045" s="35">
        <f>27701.44+8141.599</f>
        <v>35843.038999999997</v>
      </c>
      <c r="K2045" s="35">
        <f>27095.8981+8141.599</f>
        <v>35237.497100000001</v>
      </c>
      <c r="L2045" s="35">
        <f t="shared" si="932"/>
        <v>73.115335184170775</v>
      </c>
      <c r="M2045" s="35">
        <f t="shared" si="933"/>
        <v>98.310573218972877</v>
      </c>
    </row>
    <row r="2046" spans="1:13">
      <c r="A2046" s="59" t="s">
        <v>820</v>
      </c>
      <c r="B2046" s="28" t="s">
        <v>741</v>
      </c>
      <c r="C2046" s="28" t="s">
        <v>148</v>
      </c>
      <c r="D2046" s="28" t="s">
        <v>150</v>
      </c>
      <c r="E2046" s="28" t="s">
        <v>821</v>
      </c>
      <c r="F2046" s="58" t="s">
        <v>0</v>
      </c>
      <c r="G2046" s="35">
        <f>G2047+G2049</f>
        <v>1479413.2</v>
      </c>
      <c r="H2046" s="35">
        <f t="shared" ref="H2046:K2046" si="948">H2047+H2049</f>
        <v>1479413.223</v>
      </c>
      <c r="I2046" s="35">
        <f t="shared" si="948"/>
        <v>1133124.4780700002</v>
      </c>
      <c r="J2046" s="35">
        <f t="shared" si="948"/>
        <v>1133124.4780700002</v>
      </c>
      <c r="K2046" s="35">
        <f t="shared" si="948"/>
        <v>1133053.4216700001</v>
      </c>
      <c r="L2046" s="35">
        <f t="shared" si="932"/>
        <v>76.588028554480474</v>
      </c>
      <c r="M2046" s="35">
        <f t="shared" si="933"/>
        <v>99.993729162031599</v>
      </c>
    </row>
    <row r="2047" spans="1:13" ht="25.5">
      <c r="A2047" s="59" t="s">
        <v>64</v>
      </c>
      <c r="B2047" s="28" t="s">
        <v>741</v>
      </c>
      <c r="C2047" s="28" t="s">
        <v>148</v>
      </c>
      <c r="D2047" s="28" t="s">
        <v>150</v>
      </c>
      <c r="E2047" s="28" t="s">
        <v>821</v>
      </c>
      <c r="F2047" s="28" t="s">
        <v>65</v>
      </c>
      <c r="G2047" s="35">
        <f>G2048</f>
        <v>20651</v>
      </c>
      <c r="H2047" s="35">
        <f t="shared" ref="H2047:K2047" si="949">H2048</f>
        <v>20650.983</v>
      </c>
      <c r="I2047" s="35">
        <f t="shared" si="949"/>
        <v>15707.89437</v>
      </c>
      <c r="J2047" s="35">
        <f t="shared" si="949"/>
        <v>15707.89437</v>
      </c>
      <c r="K2047" s="35">
        <f t="shared" si="949"/>
        <v>15707.4493</v>
      </c>
      <c r="L2047" s="35">
        <f t="shared" si="932"/>
        <v>76.061509033250374</v>
      </c>
      <c r="M2047" s="35">
        <f t="shared" si="933"/>
        <v>99.997166583951255</v>
      </c>
    </row>
    <row r="2048" spans="1:13" ht="25.5">
      <c r="A2048" s="59" t="s">
        <v>66</v>
      </c>
      <c r="B2048" s="28" t="s">
        <v>741</v>
      </c>
      <c r="C2048" s="28" t="s">
        <v>148</v>
      </c>
      <c r="D2048" s="28" t="s">
        <v>150</v>
      </c>
      <c r="E2048" s="28" t="s">
        <v>821</v>
      </c>
      <c r="F2048" s="28" t="s">
        <v>67</v>
      </c>
      <c r="G2048" s="35">
        <v>20651</v>
      </c>
      <c r="H2048" s="35">
        <v>20650.983</v>
      </c>
      <c r="I2048" s="35">
        <v>15707.89437</v>
      </c>
      <c r="J2048" s="35">
        <v>15707.89437</v>
      </c>
      <c r="K2048" s="35">
        <v>15707.4493</v>
      </c>
      <c r="L2048" s="35">
        <f t="shared" si="932"/>
        <v>76.061509033250374</v>
      </c>
      <c r="M2048" s="35">
        <f t="shared" si="933"/>
        <v>99.997166583951255</v>
      </c>
    </row>
    <row r="2049" spans="1:13">
      <c r="A2049" s="59" t="s">
        <v>68</v>
      </c>
      <c r="B2049" s="28" t="s">
        <v>741</v>
      </c>
      <c r="C2049" s="28" t="s">
        <v>148</v>
      </c>
      <c r="D2049" s="28" t="s">
        <v>150</v>
      </c>
      <c r="E2049" s="28" t="s">
        <v>821</v>
      </c>
      <c r="F2049" s="28" t="s">
        <v>69</v>
      </c>
      <c r="G2049" s="35">
        <f>G2050</f>
        <v>1458762.2</v>
      </c>
      <c r="H2049" s="35">
        <f t="shared" ref="H2049:K2049" si="950">H2050</f>
        <v>1458762.24</v>
      </c>
      <c r="I2049" s="35">
        <f t="shared" si="950"/>
        <v>1117416.5837000001</v>
      </c>
      <c r="J2049" s="35">
        <f t="shared" si="950"/>
        <v>1117416.5837000001</v>
      </c>
      <c r="K2049" s="35">
        <f t="shared" si="950"/>
        <v>1117345.9723700001</v>
      </c>
      <c r="L2049" s="35">
        <f t="shared" si="932"/>
        <v>76.595482233622946</v>
      </c>
      <c r="M2049" s="35">
        <f t="shared" si="933"/>
        <v>99.993680841055166</v>
      </c>
    </row>
    <row r="2050" spans="1:13" ht="25.5">
      <c r="A2050" s="59" t="s">
        <v>463</v>
      </c>
      <c r="B2050" s="28" t="s">
        <v>741</v>
      </c>
      <c r="C2050" s="28" t="s">
        <v>148</v>
      </c>
      <c r="D2050" s="28" t="s">
        <v>150</v>
      </c>
      <c r="E2050" s="28" t="s">
        <v>821</v>
      </c>
      <c r="F2050" s="28" t="s">
        <v>464</v>
      </c>
      <c r="G2050" s="35">
        <v>1458762.2</v>
      </c>
      <c r="H2050" s="35">
        <v>1458762.24</v>
      </c>
      <c r="I2050" s="35">
        <v>1117416.5837000001</v>
      </c>
      <c r="J2050" s="35">
        <v>1117416.5837000001</v>
      </c>
      <c r="K2050" s="35">
        <v>1117345.9723700001</v>
      </c>
      <c r="L2050" s="35">
        <f t="shared" si="932"/>
        <v>76.595482233622946</v>
      </c>
      <c r="M2050" s="35">
        <f t="shared" si="933"/>
        <v>99.993680841055166</v>
      </c>
    </row>
    <row r="2051" spans="1:13">
      <c r="A2051" s="59" t="s">
        <v>822</v>
      </c>
      <c r="B2051" s="28" t="s">
        <v>741</v>
      </c>
      <c r="C2051" s="28" t="s">
        <v>148</v>
      </c>
      <c r="D2051" s="28" t="s">
        <v>150</v>
      </c>
      <c r="E2051" s="28" t="s">
        <v>823</v>
      </c>
      <c r="F2051" s="58" t="s">
        <v>0</v>
      </c>
      <c r="G2051" s="35">
        <f>G2052+G2054</f>
        <v>267</v>
      </c>
      <c r="H2051" s="35">
        <f t="shared" ref="H2051:K2051" si="951">H2052+H2054</f>
        <v>267.02199999999999</v>
      </c>
      <c r="I2051" s="35">
        <f t="shared" si="951"/>
        <v>183.15</v>
      </c>
      <c r="J2051" s="35">
        <f t="shared" si="951"/>
        <v>159.065</v>
      </c>
      <c r="K2051" s="35">
        <f t="shared" si="951"/>
        <v>159.03831</v>
      </c>
      <c r="L2051" s="35">
        <f t="shared" si="932"/>
        <v>59.560002546606647</v>
      </c>
      <c r="M2051" s="35">
        <f t="shared" si="933"/>
        <v>86.835004095004081</v>
      </c>
    </row>
    <row r="2052" spans="1:13" ht="25.5">
      <c r="A2052" s="59" t="s">
        <v>64</v>
      </c>
      <c r="B2052" s="28" t="s">
        <v>741</v>
      </c>
      <c r="C2052" s="28" t="s">
        <v>148</v>
      </c>
      <c r="D2052" s="28" t="s">
        <v>150</v>
      </c>
      <c r="E2052" s="28" t="s">
        <v>823</v>
      </c>
      <c r="F2052" s="28" t="s">
        <v>65</v>
      </c>
      <c r="G2052" s="35">
        <f>G2053</f>
        <v>4.4000000000000004</v>
      </c>
      <c r="H2052" s="35">
        <f t="shared" ref="H2052:K2052" si="952">H2053</f>
        <v>4.3780000000000001</v>
      </c>
      <c r="I2052" s="35">
        <f t="shared" si="952"/>
        <v>3.15</v>
      </c>
      <c r="J2052" s="35">
        <f t="shared" si="952"/>
        <v>2.657</v>
      </c>
      <c r="K2052" s="35">
        <f t="shared" si="952"/>
        <v>2.6303100000000001</v>
      </c>
      <c r="L2052" s="35">
        <f t="shared" si="932"/>
        <v>60.080173595248979</v>
      </c>
      <c r="M2052" s="35">
        <f t="shared" si="933"/>
        <v>83.501904761904768</v>
      </c>
    </row>
    <row r="2053" spans="1:13" ht="25.5">
      <c r="A2053" s="59" t="s">
        <v>66</v>
      </c>
      <c r="B2053" s="28" t="s">
        <v>741</v>
      </c>
      <c r="C2053" s="28" t="s">
        <v>148</v>
      </c>
      <c r="D2053" s="28" t="s">
        <v>150</v>
      </c>
      <c r="E2053" s="28" t="s">
        <v>823</v>
      </c>
      <c r="F2053" s="28" t="s">
        <v>67</v>
      </c>
      <c r="G2053" s="35">
        <v>4.4000000000000004</v>
      </c>
      <c r="H2053" s="35">
        <v>4.3780000000000001</v>
      </c>
      <c r="I2053" s="35">
        <v>3.15</v>
      </c>
      <c r="J2053" s="35">
        <v>2.657</v>
      </c>
      <c r="K2053" s="35">
        <v>2.6303100000000001</v>
      </c>
      <c r="L2053" s="35">
        <f t="shared" si="932"/>
        <v>60.080173595248979</v>
      </c>
      <c r="M2053" s="35">
        <f t="shared" si="933"/>
        <v>83.501904761904768</v>
      </c>
    </row>
    <row r="2054" spans="1:13">
      <c r="A2054" s="59" t="s">
        <v>68</v>
      </c>
      <c r="B2054" s="28" t="s">
        <v>741</v>
      </c>
      <c r="C2054" s="28" t="s">
        <v>148</v>
      </c>
      <c r="D2054" s="28" t="s">
        <v>150</v>
      </c>
      <c r="E2054" s="28" t="s">
        <v>823</v>
      </c>
      <c r="F2054" s="28" t="s">
        <v>69</v>
      </c>
      <c r="G2054" s="35">
        <f>G2055</f>
        <v>262.60000000000002</v>
      </c>
      <c r="H2054" s="35">
        <f t="shared" ref="H2054:K2054" si="953">H2055</f>
        <v>262.64400000000001</v>
      </c>
      <c r="I2054" s="35">
        <f t="shared" si="953"/>
        <v>180</v>
      </c>
      <c r="J2054" s="35">
        <f t="shared" si="953"/>
        <v>156.40799999999999</v>
      </c>
      <c r="K2054" s="35">
        <f t="shared" si="953"/>
        <v>156.40799999999999</v>
      </c>
      <c r="L2054" s="35">
        <f t="shared" si="932"/>
        <v>59.551331840818747</v>
      </c>
      <c r="M2054" s="35">
        <f t="shared" si="933"/>
        <v>86.893333333333317</v>
      </c>
    </row>
    <row r="2055" spans="1:13" ht="25.5">
      <c r="A2055" s="59" t="s">
        <v>463</v>
      </c>
      <c r="B2055" s="28" t="s">
        <v>741</v>
      </c>
      <c r="C2055" s="28" t="s">
        <v>148</v>
      </c>
      <c r="D2055" s="28" t="s">
        <v>150</v>
      </c>
      <c r="E2055" s="28" t="s">
        <v>823</v>
      </c>
      <c r="F2055" s="28" t="s">
        <v>464</v>
      </c>
      <c r="G2055" s="35">
        <v>262.60000000000002</v>
      </c>
      <c r="H2055" s="35">
        <v>262.64400000000001</v>
      </c>
      <c r="I2055" s="35">
        <v>180</v>
      </c>
      <c r="J2055" s="35">
        <v>156.40799999999999</v>
      </c>
      <c r="K2055" s="35">
        <v>156.40799999999999</v>
      </c>
      <c r="L2055" s="35">
        <f t="shared" si="932"/>
        <v>59.551331840818747</v>
      </c>
      <c r="M2055" s="35">
        <f t="shared" si="933"/>
        <v>86.893333333333317</v>
      </c>
    </row>
    <row r="2056" spans="1:13" ht="38.25">
      <c r="A2056" s="59" t="s">
        <v>824</v>
      </c>
      <c r="B2056" s="28" t="s">
        <v>741</v>
      </c>
      <c r="C2056" s="28" t="s">
        <v>148</v>
      </c>
      <c r="D2056" s="28" t="s">
        <v>150</v>
      </c>
      <c r="E2056" s="28" t="s">
        <v>825</v>
      </c>
      <c r="F2056" s="58" t="s">
        <v>0</v>
      </c>
      <c r="G2056" s="35">
        <f>G2057+G2059</f>
        <v>11232.400000000001</v>
      </c>
      <c r="H2056" s="35">
        <f t="shared" ref="H2056:K2056" si="954">H2057+H2059</f>
        <v>11232.387000000001</v>
      </c>
      <c r="I2056" s="35">
        <f t="shared" si="954"/>
        <v>8369.0847900000008</v>
      </c>
      <c r="J2056" s="35">
        <f t="shared" si="954"/>
        <v>8360.62032</v>
      </c>
      <c r="K2056" s="35">
        <f t="shared" si="954"/>
        <v>8360.61888</v>
      </c>
      <c r="L2056" s="35">
        <f t="shared" si="932"/>
        <v>74.433144798162658</v>
      </c>
      <c r="M2056" s="35">
        <f t="shared" si="933"/>
        <v>99.898843060950753</v>
      </c>
    </row>
    <row r="2057" spans="1:13" ht="25.5">
      <c r="A2057" s="59" t="s">
        <v>64</v>
      </c>
      <c r="B2057" s="28" t="s">
        <v>741</v>
      </c>
      <c r="C2057" s="28" t="s">
        <v>148</v>
      </c>
      <c r="D2057" s="28" t="s">
        <v>150</v>
      </c>
      <c r="E2057" s="28" t="s">
        <v>825</v>
      </c>
      <c r="F2057" s="28" t="s">
        <v>65</v>
      </c>
      <c r="G2057" s="35">
        <f>G2058</f>
        <v>173.2</v>
      </c>
      <c r="H2057" s="35">
        <f t="shared" ref="H2057:K2057" si="955">H2058</f>
        <v>173.18700000000001</v>
      </c>
      <c r="I2057" s="35">
        <f t="shared" si="955"/>
        <v>135.33000000000001</v>
      </c>
      <c r="J2057" s="35">
        <f t="shared" si="955"/>
        <v>126.86553000000001</v>
      </c>
      <c r="K2057" s="35">
        <f t="shared" si="955"/>
        <v>126.86501</v>
      </c>
      <c r="L2057" s="35">
        <f t="shared" si="932"/>
        <v>73.253194523838388</v>
      </c>
      <c r="M2057" s="35">
        <f t="shared" si="933"/>
        <v>93.744927214956022</v>
      </c>
    </row>
    <row r="2058" spans="1:13" ht="25.5">
      <c r="A2058" s="59" t="s">
        <v>66</v>
      </c>
      <c r="B2058" s="28" t="s">
        <v>741</v>
      </c>
      <c r="C2058" s="28" t="s">
        <v>148</v>
      </c>
      <c r="D2058" s="28" t="s">
        <v>150</v>
      </c>
      <c r="E2058" s="28" t="s">
        <v>825</v>
      </c>
      <c r="F2058" s="28" t="s">
        <v>67</v>
      </c>
      <c r="G2058" s="35">
        <v>173.2</v>
      </c>
      <c r="H2058" s="35">
        <v>173.18700000000001</v>
      </c>
      <c r="I2058" s="35">
        <v>135.33000000000001</v>
      </c>
      <c r="J2058" s="35">
        <v>126.86553000000001</v>
      </c>
      <c r="K2058" s="35">
        <v>126.86501</v>
      </c>
      <c r="L2058" s="35">
        <f t="shared" si="932"/>
        <v>73.253194523838388</v>
      </c>
      <c r="M2058" s="35">
        <f t="shared" si="933"/>
        <v>93.744927214956022</v>
      </c>
    </row>
    <row r="2059" spans="1:13">
      <c r="A2059" s="59" t="s">
        <v>68</v>
      </c>
      <c r="B2059" s="28" t="s">
        <v>741</v>
      </c>
      <c r="C2059" s="28" t="s">
        <v>148</v>
      </c>
      <c r="D2059" s="28" t="s">
        <v>150</v>
      </c>
      <c r="E2059" s="28" t="s">
        <v>825</v>
      </c>
      <c r="F2059" s="28" t="s">
        <v>69</v>
      </c>
      <c r="G2059" s="35">
        <f>G2060</f>
        <v>11059.2</v>
      </c>
      <c r="H2059" s="35">
        <f t="shared" ref="H2059:K2059" si="956">H2060</f>
        <v>11059.2</v>
      </c>
      <c r="I2059" s="35">
        <f t="shared" si="956"/>
        <v>8233.7547900000009</v>
      </c>
      <c r="J2059" s="35">
        <f t="shared" si="956"/>
        <v>8233.7547900000009</v>
      </c>
      <c r="K2059" s="35">
        <f t="shared" si="956"/>
        <v>8233.7538700000005</v>
      </c>
      <c r="L2059" s="35">
        <f t="shared" si="932"/>
        <v>74.451622811776616</v>
      </c>
      <c r="M2059" s="35">
        <f t="shared" si="933"/>
        <v>99.999988826482891</v>
      </c>
    </row>
    <row r="2060" spans="1:13" ht="25.5">
      <c r="A2060" s="59" t="s">
        <v>463</v>
      </c>
      <c r="B2060" s="28" t="s">
        <v>741</v>
      </c>
      <c r="C2060" s="28" t="s">
        <v>148</v>
      </c>
      <c r="D2060" s="28" t="s">
        <v>150</v>
      </c>
      <c r="E2060" s="28" t="s">
        <v>825</v>
      </c>
      <c r="F2060" s="28" t="s">
        <v>464</v>
      </c>
      <c r="G2060" s="35">
        <v>11059.2</v>
      </c>
      <c r="H2060" s="35">
        <v>11059.2</v>
      </c>
      <c r="I2060" s="35">
        <v>8233.7547900000009</v>
      </c>
      <c r="J2060" s="35">
        <v>8233.7547900000009</v>
      </c>
      <c r="K2060" s="35">
        <v>8233.7538700000005</v>
      </c>
      <c r="L2060" s="35">
        <f t="shared" si="932"/>
        <v>74.451622811776616</v>
      </c>
      <c r="M2060" s="35">
        <f t="shared" si="933"/>
        <v>99.999988826482891</v>
      </c>
    </row>
    <row r="2061" spans="1:13" ht="51">
      <c r="A2061" s="59" t="s">
        <v>826</v>
      </c>
      <c r="B2061" s="28" t="s">
        <v>741</v>
      </c>
      <c r="C2061" s="28" t="s">
        <v>148</v>
      </c>
      <c r="D2061" s="28" t="s">
        <v>150</v>
      </c>
      <c r="E2061" s="28" t="s">
        <v>827</v>
      </c>
      <c r="F2061" s="58" t="s">
        <v>0</v>
      </c>
      <c r="G2061" s="35">
        <f>G2062+G2064</f>
        <v>60.4</v>
      </c>
      <c r="H2061" s="35">
        <f t="shared" ref="H2061:K2061" si="957">H2062+H2064</f>
        <v>60.367999999999995</v>
      </c>
      <c r="I2061" s="35">
        <f t="shared" si="957"/>
        <v>45.287999999999997</v>
      </c>
      <c r="J2061" s="35">
        <f t="shared" si="957"/>
        <v>41.513999999999996</v>
      </c>
      <c r="K2061" s="35">
        <f t="shared" si="957"/>
        <v>41.51249</v>
      </c>
      <c r="L2061" s="35">
        <f t="shared" si="932"/>
        <v>68.765720249138624</v>
      </c>
      <c r="M2061" s="35">
        <f t="shared" si="933"/>
        <v>91.663332450097158</v>
      </c>
    </row>
    <row r="2062" spans="1:13" ht="25.5">
      <c r="A2062" s="59" t="s">
        <v>64</v>
      </c>
      <c r="B2062" s="28" t="s">
        <v>741</v>
      </c>
      <c r="C2062" s="28" t="s">
        <v>148</v>
      </c>
      <c r="D2062" s="28" t="s">
        <v>150</v>
      </c>
      <c r="E2062" s="28" t="s">
        <v>827</v>
      </c>
      <c r="F2062" s="28" t="s">
        <v>65</v>
      </c>
      <c r="G2062" s="35">
        <f>G2063</f>
        <v>1</v>
      </c>
      <c r="H2062" s="35">
        <f t="shared" ref="H2062:K2062" si="958">H2063</f>
        <v>0.96799999999999997</v>
      </c>
      <c r="I2062" s="35">
        <f t="shared" si="958"/>
        <v>0.73799999999999999</v>
      </c>
      <c r="J2062" s="35">
        <f t="shared" si="958"/>
        <v>0.57099999999999995</v>
      </c>
      <c r="K2062" s="35">
        <f t="shared" si="958"/>
        <v>0.56950000000000001</v>
      </c>
      <c r="L2062" s="35">
        <f t="shared" si="932"/>
        <v>58.832644628099175</v>
      </c>
      <c r="M2062" s="35">
        <f t="shared" si="933"/>
        <v>77.168021680216796</v>
      </c>
    </row>
    <row r="2063" spans="1:13" ht="25.5">
      <c r="A2063" s="59" t="s">
        <v>66</v>
      </c>
      <c r="B2063" s="28" t="s">
        <v>741</v>
      </c>
      <c r="C2063" s="28" t="s">
        <v>148</v>
      </c>
      <c r="D2063" s="28" t="s">
        <v>150</v>
      </c>
      <c r="E2063" s="28" t="s">
        <v>827</v>
      </c>
      <c r="F2063" s="28" t="s">
        <v>67</v>
      </c>
      <c r="G2063" s="35">
        <v>1</v>
      </c>
      <c r="H2063" s="35">
        <v>0.96799999999999997</v>
      </c>
      <c r="I2063" s="35">
        <v>0.73799999999999999</v>
      </c>
      <c r="J2063" s="35">
        <v>0.57099999999999995</v>
      </c>
      <c r="K2063" s="35">
        <v>0.56950000000000001</v>
      </c>
      <c r="L2063" s="35">
        <f t="shared" si="932"/>
        <v>58.832644628099175</v>
      </c>
      <c r="M2063" s="35">
        <f t="shared" si="933"/>
        <v>77.168021680216796</v>
      </c>
    </row>
    <row r="2064" spans="1:13">
      <c r="A2064" s="59" t="s">
        <v>68</v>
      </c>
      <c r="B2064" s="28" t="s">
        <v>741</v>
      </c>
      <c r="C2064" s="28" t="s">
        <v>148</v>
      </c>
      <c r="D2064" s="28" t="s">
        <v>150</v>
      </c>
      <c r="E2064" s="28" t="s">
        <v>827</v>
      </c>
      <c r="F2064" s="28" t="s">
        <v>69</v>
      </c>
      <c r="G2064" s="35">
        <f>G2065</f>
        <v>59.4</v>
      </c>
      <c r="H2064" s="35">
        <f t="shared" ref="H2064:K2064" si="959">H2065</f>
        <v>59.4</v>
      </c>
      <c r="I2064" s="35">
        <f t="shared" si="959"/>
        <v>44.55</v>
      </c>
      <c r="J2064" s="35">
        <f t="shared" si="959"/>
        <v>40.942999999999998</v>
      </c>
      <c r="K2064" s="35">
        <f t="shared" si="959"/>
        <v>40.942990000000002</v>
      </c>
      <c r="L2064" s="35">
        <f t="shared" si="932"/>
        <v>68.927592592592603</v>
      </c>
      <c r="M2064" s="35">
        <f t="shared" si="933"/>
        <v>91.903456790123457</v>
      </c>
    </row>
    <row r="2065" spans="1:13" ht="25.5">
      <c r="A2065" s="59" t="s">
        <v>463</v>
      </c>
      <c r="B2065" s="28" t="s">
        <v>741</v>
      </c>
      <c r="C2065" s="28" t="s">
        <v>148</v>
      </c>
      <c r="D2065" s="28" t="s">
        <v>150</v>
      </c>
      <c r="E2065" s="28" t="s">
        <v>827</v>
      </c>
      <c r="F2065" s="28" t="s">
        <v>464</v>
      </c>
      <c r="G2065" s="35">
        <v>59.4</v>
      </c>
      <c r="H2065" s="35">
        <v>59.4</v>
      </c>
      <c r="I2065" s="35">
        <v>44.55</v>
      </c>
      <c r="J2065" s="35">
        <v>40.942999999999998</v>
      </c>
      <c r="K2065" s="35">
        <v>40.942990000000002</v>
      </c>
      <c r="L2065" s="35">
        <f t="shared" si="932"/>
        <v>68.927592592592603</v>
      </c>
      <c r="M2065" s="35">
        <f t="shared" si="933"/>
        <v>91.903456790123457</v>
      </c>
    </row>
    <row r="2066" spans="1:13" ht="51">
      <c r="A2066" s="59" t="s">
        <v>828</v>
      </c>
      <c r="B2066" s="28" t="s">
        <v>741</v>
      </c>
      <c r="C2066" s="28" t="s">
        <v>148</v>
      </c>
      <c r="D2066" s="28" t="s">
        <v>150</v>
      </c>
      <c r="E2066" s="28" t="s">
        <v>829</v>
      </c>
      <c r="F2066" s="58" t="s">
        <v>0</v>
      </c>
      <c r="G2066" s="35">
        <f>G2067+G2069</f>
        <v>1661.4</v>
      </c>
      <c r="H2066" s="35">
        <f t="shared" ref="H2066:K2066" si="960">H2067+H2069</f>
        <v>1661.402</v>
      </c>
      <c r="I2066" s="35">
        <f t="shared" si="960"/>
        <v>50.217500000000001</v>
      </c>
      <c r="J2066" s="35">
        <f t="shared" si="960"/>
        <v>50.217500000000001</v>
      </c>
      <c r="K2066" s="35">
        <f t="shared" si="960"/>
        <v>50.217500000000001</v>
      </c>
      <c r="L2066" s="35">
        <f t="shared" si="932"/>
        <v>3.0225977818733818</v>
      </c>
      <c r="M2066" s="35">
        <f t="shared" si="933"/>
        <v>100</v>
      </c>
    </row>
    <row r="2067" spans="1:13" ht="25.5">
      <c r="A2067" s="59" t="s">
        <v>64</v>
      </c>
      <c r="B2067" s="28" t="s">
        <v>741</v>
      </c>
      <c r="C2067" s="28" t="s">
        <v>148</v>
      </c>
      <c r="D2067" s="28" t="s">
        <v>150</v>
      </c>
      <c r="E2067" s="28" t="s">
        <v>829</v>
      </c>
      <c r="F2067" s="28" t="s">
        <v>65</v>
      </c>
      <c r="G2067" s="35">
        <f>G2068</f>
        <v>21.4</v>
      </c>
      <c r="H2067" s="35">
        <f t="shared" ref="H2067:K2067" si="961">H2068</f>
        <v>21.402000000000001</v>
      </c>
      <c r="I2067" s="35">
        <f t="shared" si="961"/>
        <v>0.2175</v>
      </c>
      <c r="J2067" s="35">
        <f t="shared" si="961"/>
        <v>0.2175</v>
      </c>
      <c r="K2067" s="35">
        <f t="shared" si="961"/>
        <v>0.2175</v>
      </c>
      <c r="L2067" s="35">
        <f t="shared" si="932"/>
        <v>1.0162601626016259</v>
      </c>
      <c r="M2067" s="35">
        <f t="shared" si="933"/>
        <v>100</v>
      </c>
    </row>
    <row r="2068" spans="1:13" ht="25.5">
      <c r="A2068" s="59" t="s">
        <v>66</v>
      </c>
      <c r="B2068" s="28" t="s">
        <v>741</v>
      </c>
      <c r="C2068" s="28" t="s">
        <v>148</v>
      </c>
      <c r="D2068" s="28" t="s">
        <v>150</v>
      </c>
      <c r="E2068" s="28" t="s">
        <v>829</v>
      </c>
      <c r="F2068" s="28" t="s">
        <v>67</v>
      </c>
      <c r="G2068" s="35">
        <v>21.4</v>
      </c>
      <c r="H2068" s="35">
        <v>21.402000000000001</v>
      </c>
      <c r="I2068" s="35">
        <v>0.2175</v>
      </c>
      <c r="J2068" s="35">
        <v>0.2175</v>
      </c>
      <c r="K2068" s="35">
        <v>0.2175</v>
      </c>
      <c r="L2068" s="35">
        <f t="shared" si="932"/>
        <v>1.0162601626016259</v>
      </c>
      <c r="M2068" s="35">
        <f t="shared" si="933"/>
        <v>100</v>
      </c>
    </row>
    <row r="2069" spans="1:13">
      <c r="A2069" s="59" t="s">
        <v>68</v>
      </c>
      <c r="B2069" s="28" t="s">
        <v>741</v>
      </c>
      <c r="C2069" s="28" t="s">
        <v>148</v>
      </c>
      <c r="D2069" s="28" t="s">
        <v>150</v>
      </c>
      <c r="E2069" s="28" t="s">
        <v>829</v>
      </c>
      <c r="F2069" s="28" t="s">
        <v>69</v>
      </c>
      <c r="G2069" s="35">
        <f>G2070</f>
        <v>1640</v>
      </c>
      <c r="H2069" s="35">
        <f t="shared" ref="H2069:K2069" si="962">H2070</f>
        <v>1640</v>
      </c>
      <c r="I2069" s="35">
        <f t="shared" si="962"/>
        <v>50</v>
      </c>
      <c r="J2069" s="35">
        <f t="shared" si="962"/>
        <v>50</v>
      </c>
      <c r="K2069" s="35">
        <f t="shared" si="962"/>
        <v>50</v>
      </c>
      <c r="L2069" s="35">
        <f t="shared" si="932"/>
        <v>3.0487804878048781</v>
      </c>
      <c r="M2069" s="35">
        <f t="shared" si="933"/>
        <v>100</v>
      </c>
    </row>
    <row r="2070" spans="1:13" ht="25.5">
      <c r="A2070" s="59" t="s">
        <v>830</v>
      </c>
      <c r="B2070" s="28" t="s">
        <v>741</v>
      </c>
      <c r="C2070" s="28" t="s">
        <v>148</v>
      </c>
      <c r="D2070" s="28" t="s">
        <v>150</v>
      </c>
      <c r="E2070" s="28" t="s">
        <v>829</v>
      </c>
      <c r="F2070" s="28" t="s">
        <v>831</v>
      </c>
      <c r="G2070" s="35">
        <v>1640</v>
      </c>
      <c r="H2070" s="35">
        <v>1640</v>
      </c>
      <c r="I2070" s="35">
        <v>50</v>
      </c>
      <c r="J2070" s="35">
        <v>50</v>
      </c>
      <c r="K2070" s="35">
        <v>50</v>
      </c>
      <c r="L2070" s="35">
        <f t="shared" si="932"/>
        <v>3.0487804878048781</v>
      </c>
      <c r="M2070" s="35">
        <f t="shared" si="933"/>
        <v>100</v>
      </c>
    </row>
    <row r="2071" spans="1:13" ht="25.5">
      <c r="A2071" s="59" t="s">
        <v>832</v>
      </c>
      <c r="B2071" s="28" t="s">
        <v>741</v>
      </c>
      <c r="C2071" s="28" t="s">
        <v>148</v>
      </c>
      <c r="D2071" s="28" t="s">
        <v>150</v>
      </c>
      <c r="E2071" s="28" t="s">
        <v>833</v>
      </c>
      <c r="F2071" s="58" t="s">
        <v>0</v>
      </c>
      <c r="G2071" s="35">
        <f>G2072+G2074</f>
        <v>291389</v>
      </c>
      <c r="H2071" s="35">
        <f t="shared" ref="H2071:K2071" si="963">H2072+H2074</f>
        <v>291388.951</v>
      </c>
      <c r="I2071" s="35">
        <f t="shared" si="963"/>
        <v>240396.82010000001</v>
      </c>
      <c r="J2071" s="35">
        <f t="shared" si="963"/>
        <v>240331.82010000001</v>
      </c>
      <c r="K2071" s="35">
        <f t="shared" si="963"/>
        <v>240327.95904000002</v>
      </c>
      <c r="L2071" s="35">
        <f t="shared" si="932"/>
        <v>82.476689049201454</v>
      </c>
      <c r="M2071" s="35">
        <f t="shared" si="933"/>
        <v>99.971355253380082</v>
      </c>
    </row>
    <row r="2072" spans="1:13" ht="25.5">
      <c r="A2072" s="59" t="s">
        <v>64</v>
      </c>
      <c r="B2072" s="28" t="s">
        <v>741</v>
      </c>
      <c r="C2072" s="28" t="s">
        <v>148</v>
      </c>
      <c r="D2072" s="28" t="s">
        <v>150</v>
      </c>
      <c r="E2072" s="28" t="s">
        <v>833</v>
      </c>
      <c r="F2072" s="28" t="s">
        <v>65</v>
      </c>
      <c r="G2072" s="35">
        <f>G2073</f>
        <v>3032.6</v>
      </c>
      <c r="H2072" s="35">
        <f t="shared" ref="H2072:K2072" si="964">H2073</f>
        <v>3032.5819999999999</v>
      </c>
      <c r="I2072" s="35">
        <f t="shared" si="964"/>
        <v>2003.7091</v>
      </c>
      <c r="J2072" s="35">
        <f t="shared" si="964"/>
        <v>1938.7091</v>
      </c>
      <c r="K2072" s="35">
        <f t="shared" si="964"/>
        <v>1935.2347199999999</v>
      </c>
      <c r="L2072" s="35">
        <f t="shared" si="932"/>
        <v>63.814753236680822</v>
      </c>
      <c r="M2072" s="35">
        <f t="shared" si="933"/>
        <v>96.58261870448159</v>
      </c>
    </row>
    <row r="2073" spans="1:13" ht="25.5">
      <c r="A2073" s="59" t="s">
        <v>66</v>
      </c>
      <c r="B2073" s="28" t="s">
        <v>741</v>
      </c>
      <c r="C2073" s="28" t="s">
        <v>148</v>
      </c>
      <c r="D2073" s="28" t="s">
        <v>150</v>
      </c>
      <c r="E2073" s="28" t="s">
        <v>833</v>
      </c>
      <c r="F2073" s="28" t="s">
        <v>67</v>
      </c>
      <c r="G2073" s="35">
        <v>3032.6</v>
      </c>
      <c r="H2073" s="35">
        <v>3032.5819999999999</v>
      </c>
      <c r="I2073" s="35">
        <v>2003.7091</v>
      </c>
      <c r="J2073" s="35">
        <v>1938.7091</v>
      </c>
      <c r="K2073" s="35">
        <v>1935.2347199999999</v>
      </c>
      <c r="L2073" s="35">
        <f t="shared" si="932"/>
        <v>63.814753236680822</v>
      </c>
      <c r="M2073" s="35">
        <f t="shared" si="933"/>
        <v>96.58261870448159</v>
      </c>
    </row>
    <row r="2074" spans="1:13">
      <c r="A2074" s="59" t="s">
        <v>68</v>
      </c>
      <c r="B2074" s="28" t="s">
        <v>741</v>
      </c>
      <c r="C2074" s="28" t="s">
        <v>148</v>
      </c>
      <c r="D2074" s="28" t="s">
        <v>150</v>
      </c>
      <c r="E2074" s="28" t="s">
        <v>833</v>
      </c>
      <c r="F2074" s="28" t="s">
        <v>69</v>
      </c>
      <c r="G2074" s="35">
        <f>G2075</f>
        <v>288356.40000000002</v>
      </c>
      <c r="H2074" s="35">
        <f t="shared" ref="H2074:K2074" si="965">H2075</f>
        <v>288356.36900000001</v>
      </c>
      <c r="I2074" s="35">
        <f t="shared" si="965"/>
        <v>238393.111</v>
      </c>
      <c r="J2074" s="35">
        <f t="shared" si="965"/>
        <v>238393.111</v>
      </c>
      <c r="K2074" s="35">
        <f t="shared" si="965"/>
        <v>238392.72432000001</v>
      </c>
      <c r="L2074" s="35">
        <f t="shared" si="932"/>
        <v>82.672952619957556</v>
      </c>
      <c r="M2074" s="35">
        <f t="shared" si="933"/>
        <v>99.999837797326279</v>
      </c>
    </row>
    <row r="2075" spans="1:13" ht="25.5">
      <c r="A2075" s="59" t="s">
        <v>463</v>
      </c>
      <c r="B2075" s="28" t="s">
        <v>741</v>
      </c>
      <c r="C2075" s="28" t="s">
        <v>148</v>
      </c>
      <c r="D2075" s="28" t="s">
        <v>150</v>
      </c>
      <c r="E2075" s="28" t="s">
        <v>833</v>
      </c>
      <c r="F2075" s="28" t="s">
        <v>464</v>
      </c>
      <c r="G2075" s="35">
        <v>288356.40000000002</v>
      </c>
      <c r="H2075" s="35">
        <v>288356.36900000001</v>
      </c>
      <c r="I2075" s="35">
        <v>238393.111</v>
      </c>
      <c r="J2075" s="35">
        <v>238393.111</v>
      </c>
      <c r="K2075" s="35">
        <v>238392.72432000001</v>
      </c>
      <c r="L2075" s="35">
        <f t="shared" si="932"/>
        <v>82.672952619957556</v>
      </c>
      <c r="M2075" s="35">
        <f t="shared" si="933"/>
        <v>99.999837797326279</v>
      </c>
    </row>
    <row r="2076" spans="1:13" ht="63.75">
      <c r="A2076" s="59" t="s">
        <v>834</v>
      </c>
      <c r="B2076" s="28" t="s">
        <v>741</v>
      </c>
      <c r="C2076" s="28" t="s">
        <v>148</v>
      </c>
      <c r="D2076" s="28" t="s">
        <v>150</v>
      </c>
      <c r="E2076" s="28" t="s">
        <v>835</v>
      </c>
      <c r="F2076" s="58" t="s">
        <v>0</v>
      </c>
      <c r="G2076" s="35">
        <f>G2077+G2079</f>
        <v>638.90000000000009</v>
      </c>
      <c r="H2076" s="35">
        <f t="shared" ref="H2076:K2076" si="966">H2077+H2079</f>
        <v>638.90100000000007</v>
      </c>
      <c r="I2076" s="35">
        <f t="shared" si="966"/>
        <v>446.4</v>
      </c>
      <c r="J2076" s="35">
        <f t="shared" si="966"/>
        <v>444.565</v>
      </c>
      <c r="K2076" s="35">
        <f t="shared" si="966"/>
        <v>444.4853</v>
      </c>
      <c r="L2076" s="35">
        <f t="shared" si="932"/>
        <v>69.570293363134496</v>
      </c>
      <c r="M2076" s="35">
        <f t="shared" si="933"/>
        <v>99.571079749103944</v>
      </c>
    </row>
    <row r="2077" spans="1:13" ht="25.5">
      <c r="A2077" s="59" t="s">
        <v>64</v>
      </c>
      <c r="B2077" s="28" t="s">
        <v>741</v>
      </c>
      <c r="C2077" s="28" t="s">
        <v>148</v>
      </c>
      <c r="D2077" s="28" t="s">
        <v>150</v>
      </c>
      <c r="E2077" s="28" t="s">
        <v>835</v>
      </c>
      <c r="F2077" s="28" t="s">
        <v>65</v>
      </c>
      <c r="G2077" s="35">
        <f>G2078</f>
        <v>7.7</v>
      </c>
      <c r="H2077" s="35">
        <f t="shared" ref="H2077:K2077" si="967">H2078</f>
        <v>7.7009999999999996</v>
      </c>
      <c r="I2077" s="35">
        <f t="shared" si="967"/>
        <v>5.4</v>
      </c>
      <c r="J2077" s="35">
        <f t="shared" si="967"/>
        <v>5.3650000000000002</v>
      </c>
      <c r="K2077" s="35">
        <f t="shared" si="967"/>
        <v>5.2853000000000003</v>
      </c>
      <c r="L2077" s="35">
        <f t="shared" si="932"/>
        <v>68.631346578366461</v>
      </c>
      <c r="M2077" s="35">
        <f t="shared" si="933"/>
        <v>97.875925925925927</v>
      </c>
    </row>
    <row r="2078" spans="1:13" ht="25.5">
      <c r="A2078" s="59" t="s">
        <v>66</v>
      </c>
      <c r="B2078" s="28" t="s">
        <v>741</v>
      </c>
      <c r="C2078" s="28" t="s">
        <v>148</v>
      </c>
      <c r="D2078" s="28" t="s">
        <v>150</v>
      </c>
      <c r="E2078" s="28" t="s">
        <v>835</v>
      </c>
      <c r="F2078" s="28" t="s">
        <v>67</v>
      </c>
      <c r="G2078" s="35">
        <v>7.7</v>
      </c>
      <c r="H2078" s="35">
        <v>7.7009999999999996</v>
      </c>
      <c r="I2078" s="35">
        <v>5.4</v>
      </c>
      <c r="J2078" s="35">
        <v>5.3650000000000002</v>
      </c>
      <c r="K2078" s="35">
        <v>5.2853000000000003</v>
      </c>
      <c r="L2078" s="35">
        <f t="shared" si="932"/>
        <v>68.631346578366461</v>
      </c>
      <c r="M2078" s="35">
        <f t="shared" si="933"/>
        <v>97.875925925925927</v>
      </c>
    </row>
    <row r="2079" spans="1:13">
      <c r="A2079" s="59" t="s">
        <v>68</v>
      </c>
      <c r="B2079" s="28" t="s">
        <v>741</v>
      </c>
      <c r="C2079" s="28" t="s">
        <v>148</v>
      </c>
      <c r="D2079" s="28" t="s">
        <v>150</v>
      </c>
      <c r="E2079" s="28" t="s">
        <v>835</v>
      </c>
      <c r="F2079" s="28" t="s">
        <v>69</v>
      </c>
      <c r="G2079" s="35">
        <f>G2080</f>
        <v>631.20000000000005</v>
      </c>
      <c r="H2079" s="35">
        <f t="shared" ref="H2079:K2079" si="968">H2080</f>
        <v>631.20000000000005</v>
      </c>
      <c r="I2079" s="35">
        <f t="shared" si="968"/>
        <v>441</v>
      </c>
      <c r="J2079" s="35">
        <f t="shared" si="968"/>
        <v>439.2</v>
      </c>
      <c r="K2079" s="35">
        <f t="shared" si="968"/>
        <v>439.2</v>
      </c>
      <c r="L2079" s="35">
        <f t="shared" si="932"/>
        <v>69.581749049429646</v>
      </c>
      <c r="M2079" s="35">
        <f t="shared" si="933"/>
        <v>99.591836734693871</v>
      </c>
    </row>
    <row r="2080" spans="1:13" ht="25.5">
      <c r="A2080" s="59" t="s">
        <v>463</v>
      </c>
      <c r="B2080" s="28" t="s">
        <v>741</v>
      </c>
      <c r="C2080" s="28" t="s">
        <v>148</v>
      </c>
      <c r="D2080" s="28" t="s">
        <v>150</v>
      </c>
      <c r="E2080" s="28" t="s">
        <v>835</v>
      </c>
      <c r="F2080" s="28" t="s">
        <v>464</v>
      </c>
      <c r="G2080" s="35">
        <v>631.20000000000005</v>
      </c>
      <c r="H2080" s="35">
        <v>631.20000000000005</v>
      </c>
      <c r="I2080" s="35">
        <v>441</v>
      </c>
      <c r="J2080" s="35">
        <v>439.2</v>
      </c>
      <c r="K2080" s="35">
        <v>439.2</v>
      </c>
      <c r="L2080" s="35">
        <f t="shared" si="932"/>
        <v>69.581749049429646</v>
      </c>
      <c r="M2080" s="35">
        <f t="shared" si="933"/>
        <v>99.591836734693871</v>
      </c>
    </row>
    <row r="2081" spans="1:13" ht="63.75">
      <c r="A2081" s="59" t="s">
        <v>836</v>
      </c>
      <c r="B2081" s="28" t="s">
        <v>741</v>
      </c>
      <c r="C2081" s="28" t="s">
        <v>148</v>
      </c>
      <c r="D2081" s="28" t="s">
        <v>150</v>
      </c>
      <c r="E2081" s="28" t="s">
        <v>837</v>
      </c>
      <c r="F2081" s="58" t="s">
        <v>0</v>
      </c>
      <c r="G2081" s="35">
        <f>G2082+G2084</f>
        <v>12.2</v>
      </c>
      <c r="H2081" s="35">
        <f t="shared" ref="H2081:K2081" si="969">H2082+H2084</f>
        <v>12.18</v>
      </c>
      <c r="I2081" s="35">
        <f t="shared" si="969"/>
        <v>9.15</v>
      </c>
      <c r="J2081" s="35">
        <f t="shared" si="969"/>
        <v>9.1349999999999998</v>
      </c>
      <c r="K2081" s="35">
        <f t="shared" si="969"/>
        <v>9.1349999999999998</v>
      </c>
      <c r="L2081" s="35">
        <f t="shared" si="932"/>
        <v>75</v>
      </c>
      <c r="M2081" s="35">
        <f t="shared" si="933"/>
        <v>99.836065573770483</v>
      </c>
    </row>
    <row r="2082" spans="1:13" ht="25.5">
      <c r="A2082" s="59" t="s">
        <v>64</v>
      </c>
      <c r="B2082" s="28" t="s">
        <v>741</v>
      </c>
      <c r="C2082" s="28" t="s">
        <v>148</v>
      </c>
      <c r="D2082" s="28" t="s">
        <v>150</v>
      </c>
      <c r="E2082" s="28" t="s">
        <v>837</v>
      </c>
      <c r="F2082" s="28" t="s">
        <v>65</v>
      </c>
      <c r="G2082" s="35">
        <f>G2083</f>
        <v>0.2</v>
      </c>
      <c r="H2082" s="35">
        <f t="shared" ref="H2082:K2082" si="970">H2083</f>
        <v>0.18</v>
      </c>
      <c r="I2082" s="35">
        <f t="shared" si="970"/>
        <v>0.15</v>
      </c>
      <c r="J2082" s="35">
        <f t="shared" si="970"/>
        <v>0.13500000000000001</v>
      </c>
      <c r="K2082" s="35">
        <f t="shared" si="970"/>
        <v>0.13500000000000001</v>
      </c>
      <c r="L2082" s="35">
        <f t="shared" si="932"/>
        <v>75.000000000000014</v>
      </c>
      <c r="M2082" s="35">
        <f t="shared" si="933"/>
        <v>90.000000000000014</v>
      </c>
    </row>
    <row r="2083" spans="1:13" ht="25.5">
      <c r="A2083" s="59" t="s">
        <v>66</v>
      </c>
      <c r="B2083" s="28" t="s">
        <v>741</v>
      </c>
      <c r="C2083" s="28" t="s">
        <v>148</v>
      </c>
      <c r="D2083" s="28" t="s">
        <v>150</v>
      </c>
      <c r="E2083" s="28" t="s">
        <v>837</v>
      </c>
      <c r="F2083" s="28" t="s">
        <v>67</v>
      </c>
      <c r="G2083" s="35">
        <v>0.2</v>
      </c>
      <c r="H2083" s="35">
        <v>0.18</v>
      </c>
      <c r="I2083" s="35">
        <v>0.15</v>
      </c>
      <c r="J2083" s="35">
        <v>0.13500000000000001</v>
      </c>
      <c r="K2083" s="35">
        <v>0.13500000000000001</v>
      </c>
      <c r="L2083" s="35">
        <f t="shared" ref="L2083:L2146" si="971">K2083/H2083*100</f>
        <v>75.000000000000014</v>
      </c>
      <c r="M2083" s="35">
        <f t="shared" ref="M2083:M2144" si="972">K2083/I2083*100</f>
        <v>90.000000000000014</v>
      </c>
    </row>
    <row r="2084" spans="1:13">
      <c r="A2084" s="59" t="s">
        <v>68</v>
      </c>
      <c r="B2084" s="28" t="s">
        <v>741</v>
      </c>
      <c r="C2084" s="28" t="s">
        <v>148</v>
      </c>
      <c r="D2084" s="28" t="s">
        <v>150</v>
      </c>
      <c r="E2084" s="28" t="s">
        <v>837</v>
      </c>
      <c r="F2084" s="28" t="s">
        <v>69</v>
      </c>
      <c r="G2084" s="35">
        <f>G2085</f>
        <v>12</v>
      </c>
      <c r="H2084" s="35">
        <f t="shared" ref="H2084:K2084" si="973">H2085</f>
        <v>12</v>
      </c>
      <c r="I2084" s="35">
        <f t="shared" si="973"/>
        <v>9</v>
      </c>
      <c r="J2084" s="35">
        <f t="shared" si="973"/>
        <v>9</v>
      </c>
      <c r="K2084" s="35">
        <f t="shared" si="973"/>
        <v>9</v>
      </c>
      <c r="L2084" s="35">
        <f t="shared" si="971"/>
        <v>75</v>
      </c>
      <c r="M2084" s="35">
        <f t="shared" si="972"/>
        <v>100</v>
      </c>
    </row>
    <row r="2085" spans="1:13" ht="25.5">
      <c r="A2085" s="59" t="s">
        <v>463</v>
      </c>
      <c r="B2085" s="28" t="s">
        <v>741</v>
      </c>
      <c r="C2085" s="28" t="s">
        <v>148</v>
      </c>
      <c r="D2085" s="28" t="s">
        <v>150</v>
      </c>
      <c r="E2085" s="28" t="s">
        <v>837</v>
      </c>
      <c r="F2085" s="28" t="s">
        <v>464</v>
      </c>
      <c r="G2085" s="35">
        <v>12</v>
      </c>
      <c r="H2085" s="35">
        <v>12</v>
      </c>
      <c r="I2085" s="35">
        <v>9</v>
      </c>
      <c r="J2085" s="35">
        <v>9</v>
      </c>
      <c r="K2085" s="35">
        <v>9</v>
      </c>
      <c r="L2085" s="35">
        <f t="shared" si="971"/>
        <v>75</v>
      </c>
      <c r="M2085" s="35">
        <f t="shared" si="972"/>
        <v>100</v>
      </c>
    </row>
    <row r="2086" spans="1:13" ht="38.25">
      <c r="A2086" s="59" t="s">
        <v>838</v>
      </c>
      <c r="B2086" s="28" t="s">
        <v>741</v>
      </c>
      <c r="C2086" s="28" t="s">
        <v>148</v>
      </c>
      <c r="D2086" s="28" t="s">
        <v>150</v>
      </c>
      <c r="E2086" s="28" t="s">
        <v>839</v>
      </c>
      <c r="F2086" s="58" t="s">
        <v>0</v>
      </c>
      <c r="G2086" s="35">
        <f>G2087+G2089</f>
        <v>4869.6000000000004</v>
      </c>
      <c r="H2086" s="35">
        <f t="shared" ref="H2086:K2086" si="974">H2087+H2089</f>
        <v>4869.6000000000004</v>
      </c>
      <c r="I2086" s="35">
        <f t="shared" si="974"/>
        <v>3721.5</v>
      </c>
      <c r="J2086" s="35">
        <f t="shared" si="974"/>
        <v>3691.5320000000002</v>
      </c>
      <c r="K2086" s="35">
        <f t="shared" si="974"/>
        <v>3691.2689700000001</v>
      </c>
      <c r="L2086" s="35">
        <f t="shared" si="971"/>
        <v>75.802303474618043</v>
      </c>
      <c r="M2086" s="35">
        <f t="shared" si="972"/>
        <v>99.187665457476825</v>
      </c>
    </row>
    <row r="2087" spans="1:13" ht="25.5">
      <c r="A2087" s="59" t="s">
        <v>64</v>
      </c>
      <c r="B2087" s="28" t="s">
        <v>741</v>
      </c>
      <c r="C2087" s="28" t="s">
        <v>148</v>
      </c>
      <c r="D2087" s="28" t="s">
        <v>150</v>
      </c>
      <c r="E2087" s="28" t="s">
        <v>839</v>
      </c>
      <c r="F2087" s="28" t="s">
        <v>65</v>
      </c>
      <c r="G2087" s="35">
        <f>G2088</f>
        <v>69.599999999999994</v>
      </c>
      <c r="H2087" s="35">
        <f t="shared" ref="H2087:K2087" si="975">H2088</f>
        <v>69.599999999999994</v>
      </c>
      <c r="I2087" s="35">
        <f t="shared" si="975"/>
        <v>51.6</v>
      </c>
      <c r="J2087" s="35">
        <f t="shared" si="975"/>
        <v>42.112000000000002</v>
      </c>
      <c r="K2087" s="35">
        <f t="shared" si="975"/>
        <v>42.108919999999998</v>
      </c>
      <c r="L2087" s="35">
        <f t="shared" si="971"/>
        <v>60.501321839080461</v>
      </c>
      <c r="M2087" s="35">
        <f t="shared" si="972"/>
        <v>81.606434108527125</v>
      </c>
    </row>
    <row r="2088" spans="1:13" ht="25.5">
      <c r="A2088" s="59" t="s">
        <v>66</v>
      </c>
      <c r="B2088" s="28" t="s">
        <v>741</v>
      </c>
      <c r="C2088" s="28" t="s">
        <v>148</v>
      </c>
      <c r="D2088" s="28" t="s">
        <v>150</v>
      </c>
      <c r="E2088" s="28" t="s">
        <v>839</v>
      </c>
      <c r="F2088" s="28" t="s">
        <v>67</v>
      </c>
      <c r="G2088" s="35">
        <v>69.599999999999994</v>
      </c>
      <c r="H2088" s="35">
        <v>69.599999999999994</v>
      </c>
      <c r="I2088" s="35">
        <v>51.6</v>
      </c>
      <c r="J2088" s="35">
        <v>42.112000000000002</v>
      </c>
      <c r="K2088" s="35">
        <v>42.108919999999998</v>
      </c>
      <c r="L2088" s="35">
        <f t="shared" si="971"/>
        <v>60.501321839080461</v>
      </c>
      <c r="M2088" s="35">
        <f t="shared" si="972"/>
        <v>81.606434108527125</v>
      </c>
    </row>
    <row r="2089" spans="1:13">
      <c r="A2089" s="59" t="s">
        <v>68</v>
      </c>
      <c r="B2089" s="28" t="s">
        <v>741</v>
      </c>
      <c r="C2089" s="28" t="s">
        <v>148</v>
      </c>
      <c r="D2089" s="28" t="s">
        <v>150</v>
      </c>
      <c r="E2089" s="28" t="s">
        <v>839</v>
      </c>
      <c r="F2089" s="28" t="s">
        <v>69</v>
      </c>
      <c r="G2089" s="35">
        <f>G2090</f>
        <v>4800</v>
      </c>
      <c r="H2089" s="35">
        <f t="shared" ref="H2089:K2089" si="976">H2090</f>
        <v>4800</v>
      </c>
      <c r="I2089" s="35">
        <f t="shared" si="976"/>
        <v>3669.9</v>
      </c>
      <c r="J2089" s="35">
        <f t="shared" si="976"/>
        <v>3649.42</v>
      </c>
      <c r="K2089" s="35">
        <f t="shared" si="976"/>
        <v>3649.16005</v>
      </c>
      <c r="L2089" s="35">
        <f t="shared" si="971"/>
        <v>76.024167708333337</v>
      </c>
      <c r="M2089" s="35">
        <f t="shared" si="972"/>
        <v>99.434863347775135</v>
      </c>
    </row>
    <row r="2090" spans="1:13" ht="25.5">
      <c r="A2090" s="59" t="s">
        <v>463</v>
      </c>
      <c r="B2090" s="28" t="s">
        <v>741</v>
      </c>
      <c r="C2090" s="28" t="s">
        <v>148</v>
      </c>
      <c r="D2090" s="28" t="s">
        <v>150</v>
      </c>
      <c r="E2090" s="28" t="s">
        <v>839</v>
      </c>
      <c r="F2090" s="28" t="s">
        <v>464</v>
      </c>
      <c r="G2090" s="35">
        <v>4800</v>
      </c>
      <c r="H2090" s="35">
        <v>4800</v>
      </c>
      <c r="I2090" s="35">
        <v>3669.9</v>
      </c>
      <c r="J2090" s="35">
        <v>3649.42</v>
      </c>
      <c r="K2090" s="35">
        <v>3649.16005</v>
      </c>
      <c r="L2090" s="35">
        <f t="shared" si="971"/>
        <v>76.024167708333337</v>
      </c>
      <c r="M2090" s="35">
        <f t="shared" si="972"/>
        <v>99.434863347775135</v>
      </c>
    </row>
    <row r="2091" spans="1:13" ht="38.25">
      <c r="A2091" s="59" t="s">
        <v>840</v>
      </c>
      <c r="B2091" s="28" t="s">
        <v>741</v>
      </c>
      <c r="C2091" s="28" t="s">
        <v>148</v>
      </c>
      <c r="D2091" s="28" t="s">
        <v>150</v>
      </c>
      <c r="E2091" s="28" t="s">
        <v>841</v>
      </c>
      <c r="F2091" s="58" t="s">
        <v>0</v>
      </c>
      <c r="G2091" s="35">
        <f>G2092+G2094</f>
        <v>10805.300000000001</v>
      </c>
      <c r="H2091" s="35">
        <f t="shared" ref="H2091:K2091" si="977">H2092+H2094</f>
        <v>10805.275</v>
      </c>
      <c r="I2091" s="35">
        <f t="shared" si="977"/>
        <v>8146.8909999999996</v>
      </c>
      <c r="J2091" s="35">
        <f t="shared" si="977"/>
        <v>8140.2669999999998</v>
      </c>
      <c r="K2091" s="35">
        <f t="shared" si="977"/>
        <v>8131.7986099999998</v>
      </c>
      <c r="L2091" s="35">
        <f t="shared" si="971"/>
        <v>75.25767377507745</v>
      </c>
      <c r="M2091" s="35">
        <f t="shared" si="972"/>
        <v>99.8147466315678</v>
      </c>
    </row>
    <row r="2092" spans="1:13" ht="25.5">
      <c r="A2092" s="59" t="s">
        <v>64</v>
      </c>
      <c r="B2092" s="28" t="s">
        <v>741</v>
      </c>
      <c r="C2092" s="28" t="s">
        <v>148</v>
      </c>
      <c r="D2092" s="28" t="s">
        <v>150</v>
      </c>
      <c r="E2092" s="28" t="s">
        <v>841</v>
      </c>
      <c r="F2092" s="28" t="s">
        <v>65</v>
      </c>
      <c r="G2092" s="35">
        <f>G2093</f>
        <v>138.1</v>
      </c>
      <c r="H2092" s="35">
        <f t="shared" ref="H2092:K2092" si="978">H2093</f>
        <v>138.08699999999999</v>
      </c>
      <c r="I2092" s="35">
        <f t="shared" si="978"/>
        <v>110.9</v>
      </c>
      <c r="J2092" s="35">
        <f t="shared" si="978"/>
        <v>104.276</v>
      </c>
      <c r="K2092" s="35">
        <f t="shared" si="978"/>
        <v>104.05961000000001</v>
      </c>
      <c r="L2092" s="35">
        <f t="shared" si="971"/>
        <v>75.358006184506877</v>
      </c>
      <c r="M2092" s="35">
        <f t="shared" si="972"/>
        <v>93.831929666366094</v>
      </c>
    </row>
    <row r="2093" spans="1:13" ht="25.5">
      <c r="A2093" s="59" t="s">
        <v>66</v>
      </c>
      <c r="B2093" s="28" t="s">
        <v>741</v>
      </c>
      <c r="C2093" s="28" t="s">
        <v>148</v>
      </c>
      <c r="D2093" s="28" t="s">
        <v>150</v>
      </c>
      <c r="E2093" s="28" t="s">
        <v>841</v>
      </c>
      <c r="F2093" s="28" t="s">
        <v>67</v>
      </c>
      <c r="G2093" s="35">
        <v>138.1</v>
      </c>
      <c r="H2093" s="35">
        <v>138.08699999999999</v>
      </c>
      <c r="I2093" s="35">
        <v>110.9</v>
      </c>
      <c r="J2093" s="35">
        <v>104.276</v>
      </c>
      <c r="K2093" s="35">
        <v>104.05961000000001</v>
      </c>
      <c r="L2093" s="35">
        <f t="shared" si="971"/>
        <v>75.358006184506877</v>
      </c>
      <c r="M2093" s="35">
        <f t="shared" si="972"/>
        <v>93.831929666366094</v>
      </c>
    </row>
    <row r="2094" spans="1:13">
      <c r="A2094" s="59" t="s">
        <v>68</v>
      </c>
      <c r="B2094" s="28" t="s">
        <v>741</v>
      </c>
      <c r="C2094" s="28" t="s">
        <v>148</v>
      </c>
      <c r="D2094" s="28" t="s">
        <v>150</v>
      </c>
      <c r="E2094" s="28" t="s">
        <v>841</v>
      </c>
      <c r="F2094" s="28" t="s">
        <v>69</v>
      </c>
      <c r="G2094" s="35">
        <f>G2095</f>
        <v>10667.2</v>
      </c>
      <c r="H2094" s="35">
        <f t="shared" ref="H2094:K2094" si="979">H2095</f>
        <v>10667.188</v>
      </c>
      <c r="I2094" s="35">
        <f t="shared" si="979"/>
        <v>8035.991</v>
      </c>
      <c r="J2094" s="35">
        <f t="shared" si="979"/>
        <v>8035.991</v>
      </c>
      <c r="K2094" s="35">
        <f t="shared" si="979"/>
        <v>8027.7389999999996</v>
      </c>
      <c r="L2094" s="35">
        <f t="shared" si="971"/>
        <v>75.256374969673359</v>
      </c>
      <c r="M2094" s="35">
        <f t="shared" si="972"/>
        <v>99.897311980563444</v>
      </c>
    </row>
    <row r="2095" spans="1:13" ht="25.5">
      <c r="A2095" s="59" t="s">
        <v>463</v>
      </c>
      <c r="B2095" s="28" t="s">
        <v>741</v>
      </c>
      <c r="C2095" s="28" t="s">
        <v>148</v>
      </c>
      <c r="D2095" s="28" t="s">
        <v>150</v>
      </c>
      <c r="E2095" s="28" t="s">
        <v>841</v>
      </c>
      <c r="F2095" s="28" t="s">
        <v>464</v>
      </c>
      <c r="G2095" s="35">
        <v>10667.2</v>
      </c>
      <c r="H2095" s="35">
        <v>10667.188</v>
      </c>
      <c r="I2095" s="35">
        <v>8035.991</v>
      </c>
      <c r="J2095" s="35">
        <v>8035.991</v>
      </c>
      <c r="K2095" s="35">
        <v>8027.7389999999996</v>
      </c>
      <c r="L2095" s="35">
        <f t="shared" si="971"/>
        <v>75.256374969673359</v>
      </c>
      <c r="M2095" s="35">
        <f t="shared" si="972"/>
        <v>99.897311980563444</v>
      </c>
    </row>
    <row r="2096" spans="1:13" ht="38.25">
      <c r="A2096" s="59" t="s">
        <v>842</v>
      </c>
      <c r="B2096" s="28" t="s">
        <v>741</v>
      </c>
      <c r="C2096" s="28" t="s">
        <v>148</v>
      </c>
      <c r="D2096" s="28" t="s">
        <v>150</v>
      </c>
      <c r="E2096" s="28" t="s">
        <v>843</v>
      </c>
      <c r="F2096" s="58" t="s">
        <v>0</v>
      </c>
      <c r="G2096" s="35">
        <f>G2097+G2099</f>
        <v>996.5</v>
      </c>
      <c r="H2096" s="35">
        <f t="shared" ref="H2096:K2096" si="980">H2097+H2099</f>
        <v>996.52499999999998</v>
      </c>
      <c r="I2096" s="35">
        <f t="shared" si="980"/>
        <v>828.82499999999993</v>
      </c>
      <c r="J2096" s="35">
        <f t="shared" si="980"/>
        <v>806.34800000000007</v>
      </c>
      <c r="K2096" s="35">
        <f t="shared" si="980"/>
        <v>805.87349999999992</v>
      </c>
      <c r="L2096" s="35">
        <f t="shared" si="971"/>
        <v>80.868367577331227</v>
      </c>
      <c r="M2096" s="35">
        <f t="shared" si="972"/>
        <v>97.230838838114195</v>
      </c>
    </row>
    <row r="2097" spans="1:13" ht="25.5">
      <c r="A2097" s="59" t="s">
        <v>64</v>
      </c>
      <c r="B2097" s="28" t="s">
        <v>741</v>
      </c>
      <c r="C2097" s="28" t="s">
        <v>148</v>
      </c>
      <c r="D2097" s="28" t="s">
        <v>150</v>
      </c>
      <c r="E2097" s="28" t="s">
        <v>843</v>
      </c>
      <c r="F2097" s="28" t="s">
        <v>65</v>
      </c>
      <c r="G2097" s="35">
        <f>G2098</f>
        <v>11.5</v>
      </c>
      <c r="H2097" s="35">
        <f t="shared" ref="H2097:K2097" si="981">H2098</f>
        <v>11.525</v>
      </c>
      <c r="I2097" s="35">
        <f t="shared" si="981"/>
        <v>10.025</v>
      </c>
      <c r="J2097" s="35">
        <f t="shared" si="981"/>
        <v>9.2479999999999993</v>
      </c>
      <c r="K2097" s="35">
        <f t="shared" si="981"/>
        <v>9.2234999999999996</v>
      </c>
      <c r="L2097" s="35">
        <f t="shared" si="971"/>
        <v>80.030368763557476</v>
      </c>
      <c r="M2097" s="35">
        <f t="shared" si="972"/>
        <v>92.004987531172063</v>
      </c>
    </row>
    <row r="2098" spans="1:13" ht="25.5">
      <c r="A2098" s="59" t="s">
        <v>66</v>
      </c>
      <c r="B2098" s="28" t="s">
        <v>741</v>
      </c>
      <c r="C2098" s="28" t="s">
        <v>148</v>
      </c>
      <c r="D2098" s="28" t="s">
        <v>150</v>
      </c>
      <c r="E2098" s="28" t="s">
        <v>843</v>
      </c>
      <c r="F2098" s="28" t="s">
        <v>67</v>
      </c>
      <c r="G2098" s="35">
        <v>11.5</v>
      </c>
      <c r="H2098" s="35">
        <v>11.525</v>
      </c>
      <c r="I2098" s="35">
        <v>10.025</v>
      </c>
      <c r="J2098" s="35">
        <v>9.2479999999999993</v>
      </c>
      <c r="K2098" s="35">
        <v>9.2234999999999996</v>
      </c>
      <c r="L2098" s="35">
        <f t="shared" si="971"/>
        <v>80.030368763557476</v>
      </c>
      <c r="M2098" s="35">
        <f t="shared" si="972"/>
        <v>92.004987531172063</v>
      </c>
    </row>
    <row r="2099" spans="1:13">
      <c r="A2099" s="59" t="s">
        <v>68</v>
      </c>
      <c r="B2099" s="28" t="s">
        <v>741</v>
      </c>
      <c r="C2099" s="28" t="s">
        <v>148</v>
      </c>
      <c r="D2099" s="28" t="s">
        <v>150</v>
      </c>
      <c r="E2099" s="28" t="s">
        <v>843</v>
      </c>
      <c r="F2099" s="28" t="s">
        <v>69</v>
      </c>
      <c r="G2099" s="35">
        <f>G2100</f>
        <v>985</v>
      </c>
      <c r="H2099" s="35">
        <f t="shared" ref="H2099:K2099" si="982">H2100</f>
        <v>985</v>
      </c>
      <c r="I2099" s="35">
        <f t="shared" si="982"/>
        <v>818.8</v>
      </c>
      <c r="J2099" s="35">
        <f t="shared" si="982"/>
        <v>797.1</v>
      </c>
      <c r="K2099" s="35">
        <f t="shared" si="982"/>
        <v>796.65</v>
      </c>
      <c r="L2099" s="35">
        <f t="shared" si="971"/>
        <v>80.878172588832484</v>
      </c>
      <c r="M2099" s="35">
        <f t="shared" si="972"/>
        <v>97.294821690278454</v>
      </c>
    </row>
    <row r="2100" spans="1:13" ht="25.5">
      <c r="A2100" s="59" t="s">
        <v>463</v>
      </c>
      <c r="B2100" s="28" t="s">
        <v>741</v>
      </c>
      <c r="C2100" s="28" t="s">
        <v>148</v>
      </c>
      <c r="D2100" s="28" t="s">
        <v>150</v>
      </c>
      <c r="E2100" s="28" t="s">
        <v>843</v>
      </c>
      <c r="F2100" s="28" t="s">
        <v>464</v>
      </c>
      <c r="G2100" s="35">
        <v>985</v>
      </c>
      <c r="H2100" s="35">
        <v>985</v>
      </c>
      <c r="I2100" s="35">
        <v>818.8</v>
      </c>
      <c r="J2100" s="35">
        <v>797.1</v>
      </c>
      <c r="K2100" s="35">
        <v>796.65</v>
      </c>
      <c r="L2100" s="35">
        <f t="shared" si="971"/>
        <v>80.878172588832484</v>
      </c>
      <c r="M2100" s="35">
        <f t="shared" si="972"/>
        <v>97.294821690278454</v>
      </c>
    </row>
    <row r="2101" spans="1:13" ht="76.5">
      <c r="A2101" s="59" t="s">
        <v>844</v>
      </c>
      <c r="B2101" s="28" t="s">
        <v>741</v>
      </c>
      <c r="C2101" s="28" t="s">
        <v>148</v>
      </c>
      <c r="D2101" s="28" t="s">
        <v>150</v>
      </c>
      <c r="E2101" s="28" t="s">
        <v>845</v>
      </c>
      <c r="F2101" s="58" t="s">
        <v>0</v>
      </c>
      <c r="G2101" s="35">
        <f>G2102+G2104</f>
        <v>485.1</v>
      </c>
      <c r="H2101" s="35">
        <f t="shared" ref="H2101:K2101" si="983">H2102+H2104</f>
        <v>485.13600000000002</v>
      </c>
      <c r="I2101" s="35">
        <f t="shared" si="983"/>
        <v>271.93599999999998</v>
      </c>
      <c r="J2101" s="35">
        <f t="shared" si="983"/>
        <v>270.97500000000002</v>
      </c>
      <c r="K2101" s="35">
        <f t="shared" si="983"/>
        <v>270.964</v>
      </c>
      <c r="L2101" s="35">
        <f t="shared" si="971"/>
        <v>55.853204049998354</v>
      </c>
      <c r="M2101" s="35">
        <f t="shared" si="972"/>
        <v>99.642562955989661</v>
      </c>
    </row>
    <row r="2102" spans="1:13" ht="25.5">
      <c r="A2102" s="59" t="s">
        <v>64</v>
      </c>
      <c r="B2102" s="28" t="s">
        <v>741</v>
      </c>
      <c r="C2102" s="28" t="s">
        <v>148</v>
      </c>
      <c r="D2102" s="28" t="s">
        <v>150</v>
      </c>
      <c r="E2102" s="28" t="s">
        <v>845</v>
      </c>
      <c r="F2102" s="28" t="s">
        <v>65</v>
      </c>
      <c r="G2102" s="35">
        <f>G2103</f>
        <v>5.0999999999999996</v>
      </c>
      <c r="H2102" s="35">
        <f t="shared" ref="H2102:K2102" si="984">H2103</f>
        <v>5.1360000000000001</v>
      </c>
      <c r="I2102" s="35">
        <f t="shared" si="984"/>
        <v>3.9359999999999999</v>
      </c>
      <c r="J2102" s="35">
        <f t="shared" si="984"/>
        <v>2.9750000000000001</v>
      </c>
      <c r="K2102" s="35">
        <f t="shared" si="984"/>
        <v>2.964</v>
      </c>
      <c r="L2102" s="35">
        <f t="shared" si="971"/>
        <v>57.710280373831765</v>
      </c>
      <c r="M2102" s="35">
        <f t="shared" si="972"/>
        <v>75.304878048780495</v>
      </c>
    </row>
    <row r="2103" spans="1:13" ht="25.5">
      <c r="A2103" s="59" t="s">
        <v>66</v>
      </c>
      <c r="B2103" s="28" t="s">
        <v>741</v>
      </c>
      <c r="C2103" s="28" t="s">
        <v>148</v>
      </c>
      <c r="D2103" s="28" t="s">
        <v>150</v>
      </c>
      <c r="E2103" s="28" t="s">
        <v>845</v>
      </c>
      <c r="F2103" s="28" t="s">
        <v>67</v>
      </c>
      <c r="G2103" s="35">
        <v>5.0999999999999996</v>
      </c>
      <c r="H2103" s="35">
        <v>5.1360000000000001</v>
      </c>
      <c r="I2103" s="35">
        <v>3.9359999999999999</v>
      </c>
      <c r="J2103" s="35">
        <v>2.9750000000000001</v>
      </c>
      <c r="K2103" s="35">
        <v>2.964</v>
      </c>
      <c r="L2103" s="35">
        <f t="shared" si="971"/>
        <v>57.710280373831765</v>
      </c>
      <c r="M2103" s="35">
        <f t="shared" si="972"/>
        <v>75.304878048780495</v>
      </c>
    </row>
    <row r="2104" spans="1:13">
      <c r="A2104" s="59" t="s">
        <v>68</v>
      </c>
      <c r="B2104" s="28" t="s">
        <v>741</v>
      </c>
      <c r="C2104" s="28" t="s">
        <v>148</v>
      </c>
      <c r="D2104" s="28" t="s">
        <v>150</v>
      </c>
      <c r="E2104" s="28" t="s">
        <v>845</v>
      </c>
      <c r="F2104" s="28" t="s">
        <v>69</v>
      </c>
      <c r="G2104" s="35">
        <f>G2105</f>
        <v>480</v>
      </c>
      <c r="H2104" s="35">
        <f t="shared" ref="H2104:K2104" si="985">H2105</f>
        <v>480</v>
      </c>
      <c r="I2104" s="35">
        <f t="shared" si="985"/>
        <v>268</v>
      </c>
      <c r="J2104" s="35">
        <f t="shared" si="985"/>
        <v>268</v>
      </c>
      <c r="K2104" s="35">
        <f t="shared" si="985"/>
        <v>268</v>
      </c>
      <c r="L2104" s="35">
        <f t="shared" si="971"/>
        <v>55.833333333333336</v>
      </c>
      <c r="M2104" s="35">
        <f t="shared" si="972"/>
        <v>100</v>
      </c>
    </row>
    <row r="2105" spans="1:13" ht="25.5">
      <c r="A2105" s="59" t="s">
        <v>463</v>
      </c>
      <c r="B2105" s="28" t="s">
        <v>741</v>
      </c>
      <c r="C2105" s="28" t="s">
        <v>148</v>
      </c>
      <c r="D2105" s="28" t="s">
        <v>150</v>
      </c>
      <c r="E2105" s="28" t="s">
        <v>845</v>
      </c>
      <c r="F2105" s="28" t="s">
        <v>464</v>
      </c>
      <c r="G2105" s="35">
        <v>480</v>
      </c>
      <c r="H2105" s="35">
        <v>480</v>
      </c>
      <c r="I2105" s="35">
        <v>268</v>
      </c>
      <c r="J2105" s="35">
        <v>268</v>
      </c>
      <c r="K2105" s="35">
        <v>268</v>
      </c>
      <c r="L2105" s="35">
        <f t="shared" si="971"/>
        <v>55.833333333333336</v>
      </c>
      <c r="M2105" s="35">
        <f t="shared" si="972"/>
        <v>100</v>
      </c>
    </row>
    <row r="2106" spans="1:13" ht="51">
      <c r="A2106" s="59" t="s">
        <v>846</v>
      </c>
      <c r="B2106" s="28" t="s">
        <v>741</v>
      </c>
      <c r="C2106" s="28" t="s">
        <v>148</v>
      </c>
      <c r="D2106" s="28" t="s">
        <v>150</v>
      </c>
      <c r="E2106" s="28" t="s">
        <v>847</v>
      </c>
      <c r="F2106" s="58" t="s">
        <v>0</v>
      </c>
      <c r="G2106" s="35">
        <f>G2107+G2109</f>
        <v>25680.300000000003</v>
      </c>
      <c r="H2106" s="35">
        <f t="shared" ref="H2106:K2106" si="986">H2107+H2109</f>
        <v>25680.300999999999</v>
      </c>
      <c r="I2106" s="35">
        <f t="shared" si="986"/>
        <v>10073.554</v>
      </c>
      <c r="J2106" s="35">
        <f t="shared" si="986"/>
        <v>10062.054</v>
      </c>
      <c r="K2106" s="35">
        <f t="shared" si="986"/>
        <v>9988.2683400000005</v>
      </c>
      <c r="L2106" s="35">
        <f t="shared" si="971"/>
        <v>38.894670043003003</v>
      </c>
      <c r="M2106" s="35">
        <f t="shared" si="972"/>
        <v>99.153370697174012</v>
      </c>
    </row>
    <row r="2107" spans="1:13" ht="25.5">
      <c r="A2107" s="59" t="s">
        <v>64</v>
      </c>
      <c r="B2107" s="28" t="s">
        <v>741</v>
      </c>
      <c r="C2107" s="28" t="s">
        <v>148</v>
      </c>
      <c r="D2107" s="28" t="s">
        <v>150</v>
      </c>
      <c r="E2107" s="28" t="s">
        <v>847</v>
      </c>
      <c r="F2107" s="28" t="s">
        <v>65</v>
      </c>
      <c r="G2107" s="35">
        <f>G2108</f>
        <v>411.9</v>
      </c>
      <c r="H2107" s="35">
        <f t="shared" ref="H2107:K2107" si="987">H2108</f>
        <v>411.875</v>
      </c>
      <c r="I2107" s="35">
        <f t="shared" si="987"/>
        <v>178.018</v>
      </c>
      <c r="J2107" s="35">
        <f t="shared" si="987"/>
        <v>166.518</v>
      </c>
      <c r="K2107" s="35">
        <f t="shared" si="987"/>
        <v>161.12055000000001</v>
      </c>
      <c r="L2107" s="35">
        <f t="shared" si="971"/>
        <v>39.118798179059183</v>
      </c>
      <c r="M2107" s="35">
        <f t="shared" si="972"/>
        <v>90.508010425911991</v>
      </c>
    </row>
    <row r="2108" spans="1:13" ht="25.5">
      <c r="A2108" s="59" t="s">
        <v>66</v>
      </c>
      <c r="B2108" s="28" t="s">
        <v>741</v>
      </c>
      <c r="C2108" s="28" t="s">
        <v>148</v>
      </c>
      <c r="D2108" s="28" t="s">
        <v>150</v>
      </c>
      <c r="E2108" s="28" t="s">
        <v>847</v>
      </c>
      <c r="F2108" s="28" t="s">
        <v>67</v>
      </c>
      <c r="G2108" s="35">
        <v>411.9</v>
      </c>
      <c r="H2108" s="35">
        <v>411.875</v>
      </c>
      <c r="I2108" s="35">
        <v>178.018</v>
      </c>
      <c r="J2108" s="35">
        <v>166.518</v>
      </c>
      <c r="K2108" s="35">
        <v>161.12055000000001</v>
      </c>
      <c r="L2108" s="35">
        <f t="shared" si="971"/>
        <v>39.118798179059183</v>
      </c>
      <c r="M2108" s="35">
        <f t="shared" si="972"/>
        <v>90.508010425911991</v>
      </c>
    </row>
    <row r="2109" spans="1:13">
      <c r="A2109" s="59" t="s">
        <v>68</v>
      </c>
      <c r="B2109" s="28" t="s">
        <v>741</v>
      </c>
      <c r="C2109" s="28" t="s">
        <v>148</v>
      </c>
      <c r="D2109" s="28" t="s">
        <v>150</v>
      </c>
      <c r="E2109" s="28" t="s">
        <v>847</v>
      </c>
      <c r="F2109" s="28" t="s">
        <v>69</v>
      </c>
      <c r="G2109" s="35">
        <f>G2110</f>
        <v>25268.400000000001</v>
      </c>
      <c r="H2109" s="35">
        <f t="shared" ref="H2109:K2109" si="988">H2110</f>
        <v>25268.425999999999</v>
      </c>
      <c r="I2109" s="35">
        <f t="shared" si="988"/>
        <v>9895.5360000000001</v>
      </c>
      <c r="J2109" s="35">
        <f t="shared" si="988"/>
        <v>9895.5360000000001</v>
      </c>
      <c r="K2109" s="35">
        <f t="shared" si="988"/>
        <v>9827.1477900000009</v>
      </c>
      <c r="L2109" s="35">
        <f t="shared" si="971"/>
        <v>38.891016757434762</v>
      </c>
      <c r="M2109" s="35">
        <f t="shared" si="972"/>
        <v>99.308898375995</v>
      </c>
    </row>
    <row r="2110" spans="1:13" ht="25.5">
      <c r="A2110" s="59" t="s">
        <v>151</v>
      </c>
      <c r="B2110" s="28" t="s">
        <v>741</v>
      </c>
      <c r="C2110" s="28" t="s">
        <v>148</v>
      </c>
      <c r="D2110" s="28" t="s">
        <v>150</v>
      </c>
      <c r="E2110" s="28" t="s">
        <v>847</v>
      </c>
      <c r="F2110" s="28" t="s">
        <v>152</v>
      </c>
      <c r="G2110" s="35">
        <v>25268.400000000001</v>
      </c>
      <c r="H2110" s="35">
        <v>25268.425999999999</v>
      </c>
      <c r="I2110" s="35">
        <v>9895.5360000000001</v>
      </c>
      <c r="J2110" s="35">
        <v>9895.5360000000001</v>
      </c>
      <c r="K2110" s="35">
        <v>9827.1477900000009</v>
      </c>
      <c r="L2110" s="35">
        <f t="shared" si="971"/>
        <v>38.891016757434762</v>
      </c>
      <c r="M2110" s="35">
        <f t="shared" si="972"/>
        <v>99.308898375995</v>
      </c>
    </row>
    <row r="2111" spans="1:13" ht="38.25">
      <c r="A2111" s="59" t="s">
        <v>848</v>
      </c>
      <c r="B2111" s="28" t="s">
        <v>741</v>
      </c>
      <c r="C2111" s="28" t="s">
        <v>148</v>
      </c>
      <c r="D2111" s="28" t="s">
        <v>150</v>
      </c>
      <c r="E2111" s="28" t="s">
        <v>849</v>
      </c>
      <c r="F2111" s="58" t="s">
        <v>0</v>
      </c>
      <c r="G2111" s="35">
        <f>G2112</f>
        <v>376437.1</v>
      </c>
      <c r="H2111" s="35">
        <f t="shared" ref="H2111:K2112" si="989">H2112</f>
        <v>376437.1</v>
      </c>
      <c r="I2111" s="35">
        <f t="shared" si="989"/>
        <v>249130.58661</v>
      </c>
      <c r="J2111" s="35">
        <f t="shared" si="989"/>
        <v>249130.58661</v>
      </c>
      <c r="K2111" s="35">
        <f t="shared" si="989"/>
        <v>248972.89610000001</v>
      </c>
      <c r="L2111" s="35">
        <f t="shared" si="971"/>
        <v>66.139308824767809</v>
      </c>
      <c r="M2111" s="35">
        <f t="shared" si="972"/>
        <v>99.936703673304137</v>
      </c>
    </row>
    <row r="2112" spans="1:13">
      <c r="A2112" s="59" t="s">
        <v>26</v>
      </c>
      <c r="B2112" s="28" t="s">
        <v>741</v>
      </c>
      <c r="C2112" s="28" t="s">
        <v>148</v>
      </c>
      <c r="D2112" s="28" t="s">
        <v>150</v>
      </c>
      <c r="E2112" s="28" t="s">
        <v>849</v>
      </c>
      <c r="F2112" s="28" t="s">
        <v>27</v>
      </c>
      <c r="G2112" s="35">
        <f>G2113</f>
        <v>376437.1</v>
      </c>
      <c r="H2112" s="35">
        <f t="shared" si="989"/>
        <v>376437.1</v>
      </c>
      <c r="I2112" s="35">
        <f t="shared" si="989"/>
        <v>249130.58661</v>
      </c>
      <c r="J2112" s="35">
        <f t="shared" si="989"/>
        <v>249130.58661</v>
      </c>
      <c r="K2112" s="35">
        <f t="shared" si="989"/>
        <v>248972.89610000001</v>
      </c>
      <c r="L2112" s="35">
        <f t="shared" si="971"/>
        <v>66.139308824767809</v>
      </c>
      <c r="M2112" s="35">
        <f t="shared" si="972"/>
        <v>99.936703673304137</v>
      </c>
    </row>
    <row r="2113" spans="1:13">
      <c r="A2113" s="59" t="s">
        <v>28</v>
      </c>
      <c r="B2113" s="28" t="s">
        <v>741</v>
      </c>
      <c r="C2113" s="28" t="s">
        <v>148</v>
      </c>
      <c r="D2113" s="28" t="s">
        <v>150</v>
      </c>
      <c r="E2113" s="28" t="s">
        <v>849</v>
      </c>
      <c r="F2113" s="28" t="s">
        <v>29</v>
      </c>
      <c r="G2113" s="35">
        <v>376437.1</v>
      </c>
      <c r="H2113" s="35">
        <v>376437.1</v>
      </c>
      <c r="I2113" s="35">
        <v>249130.58661</v>
      </c>
      <c r="J2113" s="35">
        <v>249130.58661</v>
      </c>
      <c r="K2113" s="35">
        <v>248972.89610000001</v>
      </c>
      <c r="L2113" s="35">
        <f t="shared" si="971"/>
        <v>66.139308824767809</v>
      </c>
      <c r="M2113" s="35">
        <f t="shared" si="972"/>
        <v>99.936703673304137</v>
      </c>
    </row>
    <row r="2114" spans="1:13" ht="51">
      <c r="A2114" s="59" t="s">
        <v>850</v>
      </c>
      <c r="B2114" s="28" t="s">
        <v>741</v>
      </c>
      <c r="C2114" s="28" t="s">
        <v>148</v>
      </c>
      <c r="D2114" s="28" t="s">
        <v>150</v>
      </c>
      <c r="E2114" s="28" t="s">
        <v>851</v>
      </c>
      <c r="F2114" s="58" t="s">
        <v>0</v>
      </c>
      <c r="G2114" s="35">
        <f>G2115</f>
        <v>7720.2</v>
      </c>
      <c r="H2114" s="35">
        <f t="shared" ref="H2114:K2115" si="990">H2115</f>
        <v>7720.2</v>
      </c>
      <c r="I2114" s="35">
        <f t="shared" si="990"/>
        <v>5239.8</v>
      </c>
      <c r="J2114" s="35">
        <f t="shared" si="990"/>
        <v>5239.8</v>
      </c>
      <c r="K2114" s="35">
        <f t="shared" si="990"/>
        <v>5190.3377499999997</v>
      </c>
      <c r="L2114" s="35">
        <f t="shared" si="971"/>
        <v>67.230612548897696</v>
      </c>
      <c r="M2114" s="35">
        <f t="shared" si="972"/>
        <v>99.056027901828301</v>
      </c>
    </row>
    <row r="2115" spans="1:13">
      <c r="A2115" s="59" t="s">
        <v>26</v>
      </c>
      <c r="B2115" s="28" t="s">
        <v>741</v>
      </c>
      <c r="C2115" s="28" t="s">
        <v>148</v>
      </c>
      <c r="D2115" s="28" t="s">
        <v>150</v>
      </c>
      <c r="E2115" s="28" t="s">
        <v>851</v>
      </c>
      <c r="F2115" s="28" t="s">
        <v>27</v>
      </c>
      <c r="G2115" s="35">
        <f>G2116</f>
        <v>7720.2</v>
      </c>
      <c r="H2115" s="35">
        <f t="shared" si="990"/>
        <v>7720.2</v>
      </c>
      <c r="I2115" s="35">
        <f t="shared" si="990"/>
        <v>5239.8</v>
      </c>
      <c r="J2115" s="35">
        <f t="shared" si="990"/>
        <v>5239.8</v>
      </c>
      <c r="K2115" s="35">
        <f t="shared" si="990"/>
        <v>5190.3377499999997</v>
      </c>
      <c r="L2115" s="35">
        <f t="shared" si="971"/>
        <v>67.230612548897696</v>
      </c>
      <c r="M2115" s="35">
        <f t="shared" si="972"/>
        <v>99.056027901828301</v>
      </c>
    </row>
    <row r="2116" spans="1:13">
      <c r="A2116" s="59" t="s">
        <v>352</v>
      </c>
      <c r="B2116" s="28" t="s">
        <v>741</v>
      </c>
      <c r="C2116" s="28" t="s">
        <v>148</v>
      </c>
      <c r="D2116" s="28" t="s">
        <v>150</v>
      </c>
      <c r="E2116" s="28" t="s">
        <v>851</v>
      </c>
      <c r="F2116" s="28" t="s">
        <v>353</v>
      </c>
      <c r="G2116" s="35">
        <v>7720.2</v>
      </c>
      <c r="H2116" s="35">
        <v>7720.2</v>
      </c>
      <c r="I2116" s="35">
        <v>5239.8</v>
      </c>
      <c r="J2116" s="35">
        <v>5239.8</v>
      </c>
      <c r="K2116" s="35">
        <v>5190.3377499999997</v>
      </c>
      <c r="L2116" s="35">
        <f t="shared" si="971"/>
        <v>67.230612548897696</v>
      </c>
      <c r="M2116" s="35">
        <f t="shared" si="972"/>
        <v>99.056027901828301</v>
      </c>
    </row>
    <row r="2117" spans="1:13" ht="38.25">
      <c r="A2117" s="59" t="s">
        <v>781</v>
      </c>
      <c r="B2117" s="28" t="s">
        <v>741</v>
      </c>
      <c r="C2117" s="28" t="s">
        <v>148</v>
      </c>
      <c r="D2117" s="28" t="s">
        <v>150</v>
      </c>
      <c r="E2117" s="28" t="s">
        <v>782</v>
      </c>
      <c r="F2117" s="58" t="s">
        <v>0</v>
      </c>
      <c r="G2117" s="35">
        <f>G2118</f>
        <v>11434.8</v>
      </c>
      <c r="H2117" s="35">
        <f t="shared" ref="H2117:K2117" si="991">H2118</f>
        <v>11434.789999999999</v>
      </c>
      <c r="I2117" s="35">
        <f t="shared" si="991"/>
        <v>7638.1590199999991</v>
      </c>
      <c r="J2117" s="35">
        <f t="shared" si="991"/>
        <v>7638.1590199999991</v>
      </c>
      <c r="K2117" s="35">
        <f t="shared" si="991"/>
        <v>7638.1590199999991</v>
      </c>
      <c r="L2117" s="35">
        <f t="shared" si="971"/>
        <v>66.797545210712215</v>
      </c>
      <c r="M2117" s="35">
        <f t="shared" si="972"/>
        <v>100</v>
      </c>
    </row>
    <row r="2118" spans="1:13" ht="89.25">
      <c r="A2118" s="59" t="s">
        <v>852</v>
      </c>
      <c r="B2118" s="28" t="s">
        <v>741</v>
      </c>
      <c r="C2118" s="28" t="s">
        <v>148</v>
      </c>
      <c r="D2118" s="28" t="s">
        <v>150</v>
      </c>
      <c r="E2118" s="28" t="s">
        <v>853</v>
      </c>
      <c r="F2118" s="58" t="s">
        <v>0</v>
      </c>
      <c r="G2118" s="35">
        <f>G2119+G2122</f>
        <v>11434.8</v>
      </c>
      <c r="H2118" s="35">
        <f t="shared" ref="H2118:K2118" si="992">H2119+H2122</f>
        <v>11434.789999999999</v>
      </c>
      <c r="I2118" s="35">
        <f t="shared" si="992"/>
        <v>7638.1590199999991</v>
      </c>
      <c r="J2118" s="35">
        <f t="shared" si="992"/>
        <v>7638.1590199999991</v>
      </c>
      <c r="K2118" s="35">
        <f t="shared" si="992"/>
        <v>7638.1590199999991</v>
      </c>
      <c r="L2118" s="35">
        <f t="shared" si="971"/>
        <v>66.797545210712215</v>
      </c>
      <c r="M2118" s="35">
        <f t="shared" si="972"/>
        <v>100</v>
      </c>
    </row>
    <row r="2119" spans="1:13" ht="25.5">
      <c r="A2119" s="59" t="s">
        <v>64</v>
      </c>
      <c r="B2119" s="28" t="s">
        <v>741</v>
      </c>
      <c r="C2119" s="28" t="s">
        <v>148</v>
      </c>
      <c r="D2119" s="28" t="s">
        <v>150</v>
      </c>
      <c r="E2119" s="28" t="s">
        <v>853</v>
      </c>
      <c r="F2119" s="28" t="s">
        <v>65</v>
      </c>
      <c r="G2119" s="35">
        <f>G2120</f>
        <v>156.9</v>
      </c>
      <c r="H2119" s="35">
        <f t="shared" ref="H2119:K2119" si="993">H2120</f>
        <v>156.88999999999999</v>
      </c>
      <c r="I2119" s="35">
        <f t="shared" si="993"/>
        <v>114.04376000000001</v>
      </c>
      <c r="J2119" s="35">
        <f t="shared" si="993"/>
        <v>114.04376000000001</v>
      </c>
      <c r="K2119" s="35">
        <f t="shared" si="993"/>
        <v>114.04376000000001</v>
      </c>
      <c r="L2119" s="35">
        <f t="shared" si="971"/>
        <v>72.690267066097277</v>
      </c>
      <c r="M2119" s="35">
        <f t="shared" si="972"/>
        <v>100</v>
      </c>
    </row>
    <row r="2120" spans="1:13" ht="25.5">
      <c r="A2120" s="59" t="s">
        <v>66</v>
      </c>
      <c r="B2120" s="28" t="s">
        <v>741</v>
      </c>
      <c r="C2120" s="28" t="s">
        <v>148</v>
      </c>
      <c r="D2120" s="28" t="s">
        <v>150</v>
      </c>
      <c r="E2120" s="28" t="s">
        <v>853</v>
      </c>
      <c r="F2120" s="28" t="s">
        <v>67</v>
      </c>
      <c r="G2120" s="35">
        <v>156.9</v>
      </c>
      <c r="H2120" s="35">
        <v>156.88999999999999</v>
      </c>
      <c r="I2120" s="35">
        <v>114.04376000000001</v>
      </c>
      <c r="J2120" s="35">
        <v>114.04376000000001</v>
      </c>
      <c r="K2120" s="35">
        <v>114.04376000000001</v>
      </c>
      <c r="L2120" s="35">
        <f t="shared" si="971"/>
        <v>72.690267066097277</v>
      </c>
      <c r="M2120" s="35">
        <f t="shared" si="972"/>
        <v>100</v>
      </c>
    </row>
    <row r="2121" spans="1:13">
      <c r="A2121" s="59" t="s">
        <v>68</v>
      </c>
      <c r="B2121" s="28" t="s">
        <v>741</v>
      </c>
      <c r="C2121" s="28" t="s">
        <v>148</v>
      </c>
      <c r="D2121" s="28" t="s">
        <v>150</v>
      </c>
      <c r="E2121" s="28" t="s">
        <v>853</v>
      </c>
      <c r="F2121" s="28" t="s">
        <v>69</v>
      </c>
      <c r="G2121" s="35">
        <f>G2122</f>
        <v>11277.9</v>
      </c>
      <c r="H2121" s="35">
        <f t="shared" ref="H2121:K2121" si="994">H2122</f>
        <v>11277.9</v>
      </c>
      <c r="I2121" s="35">
        <f t="shared" si="994"/>
        <v>7524.1152599999996</v>
      </c>
      <c r="J2121" s="35">
        <f t="shared" si="994"/>
        <v>7524.1152599999996</v>
      </c>
      <c r="K2121" s="35">
        <f t="shared" si="994"/>
        <v>7524.1152599999996</v>
      </c>
      <c r="L2121" s="35">
        <f t="shared" si="971"/>
        <v>66.715569919931909</v>
      </c>
      <c r="M2121" s="35">
        <f t="shared" si="972"/>
        <v>100</v>
      </c>
    </row>
    <row r="2122" spans="1:13" ht="25.5">
      <c r="A2122" s="59" t="s">
        <v>151</v>
      </c>
      <c r="B2122" s="28" t="s">
        <v>741</v>
      </c>
      <c r="C2122" s="28" t="s">
        <v>148</v>
      </c>
      <c r="D2122" s="28" t="s">
        <v>150</v>
      </c>
      <c r="E2122" s="28" t="s">
        <v>853</v>
      </c>
      <c r="F2122" s="28" t="s">
        <v>152</v>
      </c>
      <c r="G2122" s="35">
        <v>11277.9</v>
      </c>
      <c r="H2122" s="35">
        <v>11277.9</v>
      </c>
      <c r="I2122" s="35">
        <v>7524.1152599999996</v>
      </c>
      <c r="J2122" s="35">
        <v>7524.1152599999996</v>
      </c>
      <c r="K2122" s="35">
        <v>7524.1152599999996</v>
      </c>
      <c r="L2122" s="35">
        <f t="shared" si="971"/>
        <v>66.715569919931909</v>
      </c>
      <c r="M2122" s="35">
        <f t="shared" si="972"/>
        <v>100</v>
      </c>
    </row>
    <row r="2123" spans="1:13" ht="51">
      <c r="A2123" s="59" t="s">
        <v>20</v>
      </c>
      <c r="B2123" s="28" t="s">
        <v>741</v>
      </c>
      <c r="C2123" s="28" t="s">
        <v>148</v>
      </c>
      <c r="D2123" s="28" t="s">
        <v>150</v>
      </c>
      <c r="E2123" s="28" t="s">
        <v>21</v>
      </c>
      <c r="F2123" s="58" t="s">
        <v>0</v>
      </c>
      <c r="G2123" s="35">
        <f>G2124</f>
        <v>4000</v>
      </c>
      <c r="H2123" s="35">
        <f t="shared" ref="H2123:K2126" si="995">H2124</f>
        <v>4000</v>
      </c>
      <c r="I2123" s="35">
        <f t="shared" si="995"/>
        <v>0</v>
      </c>
      <c r="J2123" s="35">
        <f t="shared" si="995"/>
        <v>0</v>
      </c>
      <c r="K2123" s="35">
        <f t="shared" si="995"/>
        <v>0</v>
      </c>
      <c r="L2123" s="35">
        <f t="shared" si="971"/>
        <v>0</v>
      </c>
      <c r="M2123" s="35">
        <v>0</v>
      </c>
    </row>
    <row r="2124" spans="1:13" ht="38.25">
      <c r="A2124" s="59" t="s">
        <v>52</v>
      </c>
      <c r="B2124" s="28" t="s">
        <v>741</v>
      </c>
      <c r="C2124" s="28" t="s">
        <v>148</v>
      </c>
      <c r="D2124" s="28" t="s">
        <v>150</v>
      </c>
      <c r="E2124" s="28" t="s">
        <v>53</v>
      </c>
      <c r="F2124" s="58" t="s">
        <v>0</v>
      </c>
      <c r="G2124" s="35">
        <f>G2125</f>
        <v>4000</v>
      </c>
      <c r="H2124" s="35">
        <f t="shared" si="995"/>
        <v>4000</v>
      </c>
      <c r="I2124" s="35">
        <f t="shared" si="995"/>
        <v>0</v>
      </c>
      <c r="J2124" s="35">
        <f t="shared" si="995"/>
        <v>0</v>
      </c>
      <c r="K2124" s="35">
        <f t="shared" si="995"/>
        <v>0</v>
      </c>
      <c r="L2124" s="35">
        <f t="shared" si="971"/>
        <v>0</v>
      </c>
      <c r="M2124" s="35">
        <v>0</v>
      </c>
    </row>
    <row r="2125" spans="1:13" ht="38.25">
      <c r="A2125" s="59" t="s">
        <v>854</v>
      </c>
      <c r="B2125" s="28" t="s">
        <v>741</v>
      </c>
      <c r="C2125" s="28" t="s">
        <v>148</v>
      </c>
      <c r="D2125" s="28" t="s">
        <v>150</v>
      </c>
      <c r="E2125" s="28" t="s">
        <v>855</v>
      </c>
      <c r="F2125" s="58" t="s">
        <v>0</v>
      </c>
      <c r="G2125" s="35">
        <f>G2126</f>
        <v>4000</v>
      </c>
      <c r="H2125" s="35">
        <f t="shared" si="995"/>
        <v>4000</v>
      </c>
      <c r="I2125" s="35">
        <f t="shared" si="995"/>
        <v>0</v>
      </c>
      <c r="J2125" s="35">
        <f t="shared" si="995"/>
        <v>0</v>
      </c>
      <c r="K2125" s="35">
        <f t="shared" si="995"/>
        <v>0</v>
      </c>
      <c r="L2125" s="35">
        <f t="shared" si="971"/>
        <v>0</v>
      </c>
      <c r="M2125" s="35">
        <v>0</v>
      </c>
    </row>
    <row r="2126" spans="1:13">
      <c r="A2126" s="59" t="s">
        <v>68</v>
      </c>
      <c r="B2126" s="28" t="s">
        <v>741</v>
      </c>
      <c r="C2126" s="28" t="s">
        <v>148</v>
      </c>
      <c r="D2126" s="28" t="s">
        <v>150</v>
      </c>
      <c r="E2126" s="28" t="s">
        <v>855</v>
      </c>
      <c r="F2126" s="28" t="s">
        <v>69</v>
      </c>
      <c r="G2126" s="35">
        <f>G2127</f>
        <v>4000</v>
      </c>
      <c r="H2126" s="35">
        <f t="shared" si="995"/>
        <v>4000</v>
      </c>
      <c r="I2126" s="35">
        <f t="shared" si="995"/>
        <v>0</v>
      </c>
      <c r="J2126" s="35">
        <f t="shared" si="995"/>
        <v>0</v>
      </c>
      <c r="K2126" s="35">
        <f t="shared" si="995"/>
        <v>0</v>
      </c>
      <c r="L2126" s="35">
        <f t="shared" si="971"/>
        <v>0</v>
      </c>
      <c r="M2126" s="35">
        <v>0</v>
      </c>
    </row>
    <row r="2127" spans="1:13" ht="25.5">
      <c r="A2127" s="59" t="s">
        <v>151</v>
      </c>
      <c r="B2127" s="28" t="s">
        <v>741</v>
      </c>
      <c r="C2127" s="28" t="s">
        <v>148</v>
      </c>
      <c r="D2127" s="28" t="s">
        <v>150</v>
      </c>
      <c r="E2127" s="28" t="s">
        <v>855</v>
      </c>
      <c r="F2127" s="28" t="s">
        <v>152</v>
      </c>
      <c r="G2127" s="35">
        <v>4000</v>
      </c>
      <c r="H2127" s="35">
        <v>4000</v>
      </c>
      <c r="I2127" s="35">
        <v>0</v>
      </c>
      <c r="J2127" s="35">
        <v>0</v>
      </c>
      <c r="K2127" s="35">
        <v>0</v>
      </c>
      <c r="L2127" s="35">
        <f t="shared" si="971"/>
        <v>0</v>
      </c>
      <c r="M2127" s="35">
        <v>0</v>
      </c>
    </row>
    <row r="2128" spans="1:13" ht="51">
      <c r="A2128" s="59" t="s">
        <v>742</v>
      </c>
      <c r="B2128" s="28" t="s">
        <v>741</v>
      </c>
      <c r="C2128" s="28" t="s">
        <v>148</v>
      </c>
      <c r="D2128" s="28" t="s">
        <v>150</v>
      </c>
      <c r="E2128" s="28" t="s">
        <v>743</v>
      </c>
      <c r="F2128" s="58" t="s">
        <v>0</v>
      </c>
      <c r="G2128" s="35">
        <f>G2129</f>
        <v>396562.8</v>
      </c>
      <c r="H2128" s="35">
        <f t="shared" ref="H2128:K2129" si="996">H2129</f>
        <v>396562.8</v>
      </c>
      <c r="I2128" s="35">
        <f t="shared" si="996"/>
        <v>316948.79007000005</v>
      </c>
      <c r="J2128" s="35">
        <f t="shared" si="996"/>
        <v>316948.79007000005</v>
      </c>
      <c r="K2128" s="35">
        <f t="shared" si="996"/>
        <v>315543.32124999998</v>
      </c>
      <c r="L2128" s="35">
        <f t="shared" si="971"/>
        <v>79.569571641616406</v>
      </c>
      <c r="M2128" s="35">
        <f t="shared" si="972"/>
        <v>99.556562806348097</v>
      </c>
    </row>
    <row r="2129" spans="1:13" ht="38.25">
      <c r="A2129" s="59" t="s">
        <v>750</v>
      </c>
      <c r="B2129" s="28" t="s">
        <v>741</v>
      </c>
      <c r="C2129" s="28" t="s">
        <v>148</v>
      </c>
      <c r="D2129" s="28" t="s">
        <v>150</v>
      </c>
      <c r="E2129" s="28" t="s">
        <v>751</v>
      </c>
      <c r="F2129" s="58" t="s">
        <v>0</v>
      </c>
      <c r="G2129" s="35">
        <f>G2130</f>
        <v>396562.8</v>
      </c>
      <c r="H2129" s="35">
        <f t="shared" si="996"/>
        <v>396562.8</v>
      </c>
      <c r="I2129" s="35">
        <f t="shared" si="996"/>
        <v>316948.79007000005</v>
      </c>
      <c r="J2129" s="35">
        <f t="shared" si="996"/>
        <v>316948.79007000005</v>
      </c>
      <c r="K2129" s="35">
        <f t="shared" si="996"/>
        <v>315543.32124999998</v>
      </c>
      <c r="L2129" s="35">
        <f t="shared" si="971"/>
        <v>79.569571641616406</v>
      </c>
      <c r="M2129" s="35">
        <f t="shared" si="972"/>
        <v>99.556562806348097</v>
      </c>
    </row>
    <row r="2130" spans="1:13" ht="51">
      <c r="A2130" s="59" t="s">
        <v>856</v>
      </c>
      <c r="B2130" s="28" t="s">
        <v>741</v>
      </c>
      <c r="C2130" s="28" t="s">
        <v>148</v>
      </c>
      <c r="D2130" s="28" t="s">
        <v>150</v>
      </c>
      <c r="E2130" s="28" t="s">
        <v>857</v>
      </c>
      <c r="F2130" s="58" t="s">
        <v>0</v>
      </c>
      <c r="G2130" s="35">
        <f>G2131+G2133</f>
        <v>396562.8</v>
      </c>
      <c r="H2130" s="35">
        <f t="shared" ref="H2130:K2130" si="997">H2131+H2133</f>
        <v>396562.8</v>
      </c>
      <c r="I2130" s="35">
        <f t="shared" si="997"/>
        <v>316948.79007000005</v>
      </c>
      <c r="J2130" s="35">
        <f t="shared" si="997"/>
        <v>316948.79007000005</v>
      </c>
      <c r="K2130" s="35">
        <f t="shared" si="997"/>
        <v>315543.32124999998</v>
      </c>
      <c r="L2130" s="35">
        <f t="shared" si="971"/>
        <v>79.569571641616406</v>
      </c>
      <c r="M2130" s="35">
        <f t="shared" si="972"/>
        <v>99.556562806348097</v>
      </c>
    </row>
    <row r="2131" spans="1:13" ht="25.5">
      <c r="A2131" s="59" t="s">
        <v>64</v>
      </c>
      <c r="B2131" s="28" t="s">
        <v>741</v>
      </c>
      <c r="C2131" s="28" t="s">
        <v>148</v>
      </c>
      <c r="D2131" s="28" t="s">
        <v>150</v>
      </c>
      <c r="E2131" s="28" t="s">
        <v>857</v>
      </c>
      <c r="F2131" s="28" t="s">
        <v>65</v>
      </c>
      <c r="G2131" s="35">
        <f>G2132</f>
        <v>9338.4</v>
      </c>
      <c r="H2131" s="35">
        <f t="shared" ref="H2131:K2131" si="998">H2132</f>
        <v>9338.4</v>
      </c>
      <c r="I2131" s="35">
        <f t="shared" si="998"/>
        <v>5162.6234199999999</v>
      </c>
      <c r="J2131" s="35">
        <f t="shared" si="998"/>
        <v>5162.6234199999999</v>
      </c>
      <c r="K2131" s="35">
        <f t="shared" si="998"/>
        <v>5050.3979099999997</v>
      </c>
      <c r="L2131" s="35">
        <f t="shared" si="971"/>
        <v>54.08204735286558</v>
      </c>
      <c r="M2131" s="35">
        <f t="shared" si="972"/>
        <v>97.826192211400922</v>
      </c>
    </row>
    <row r="2132" spans="1:13" ht="25.5">
      <c r="A2132" s="59" t="s">
        <v>66</v>
      </c>
      <c r="B2132" s="28" t="s">
        <v>741</v>
      </c>
      <c r="C2132" s="28" t="s">
        <v>148</v>
      </c>
      <c r="D2132" s="28" t="s">
        <v>150</v>
      </c>
      <c r="E2132" s="28" t="s">
        <v>857</v>
      </c>
      <c r="F2132" s="28" t="s">
        <v>67</v>
      </c>
      <c r="G2132" s="35">
        <v>9338.4</v>
      </c>
      <c r="H2132" s="35">
        <v>9338.4</v>
      </c>
      <c r="I2132" s="35">
        <v>5162.6234199999999</v>
      </c>
      <c r="J2132" s="35">
        <v>5162.6234199999999</v>
      </c>
      <c r="K2132" s="35">
        <v>5050.3979099999997</v>
      </c>
      <c r="L2132" s="35">
        <f t="shared" si="971"/>
        <v>54.08204735286558</v>
      </c>
      <c r="M2132" s="35">
        <f t="shared" si="972"/>
        <v>97.826192211400922</v>
      </c>
    </row>
    <row r="2133" spans="1:13">
      <c r="A2133" s="59" t="s">
        <v>68</v>
      </c>
      <c r="B2133" s="28" t="s">
        <v>741</v>
      </c>
      <c r="C2133" s="28" t="s">
        <v>148</v>
      </c>
      <c r="D2133" s="28" t="s">
        <v>150</v>
      </c>
      <c r="E2133" s="28" t="s">
        <v>857</v>
      </c>
      <c r="F2133" s="28" t="s">
        <v>69</v>
      </c>
      <c r="G2133" s="35">
        <f>G2134+G2135</f>
        <v>387224.39999999997</v>
      </c>
      <c r="H2133" s="35">
        <f t="shared" ref="H2133:K2133" si="999">H2134+H2135</f>
        <v>387224.39999999997</v>
      </c>
      <c r="I2133" s="35">
        <f t="shared" si="999"/>
        <v>311786.16665000003</v>
      </c>
      <c r="J2133" s="35">
        <f t="shared" si="999"/>
        <v>311786.16665000003</v>
      </c>
      <c r="K2133" s="35">
        <f t="shared" si="999"/>
        <v>310492.92333999998</v>
      </c>
      <c r="L2133" s="35">
        <f t="shared" si="971"/>
        <v>80.184235120514103</v>
      </c>
      <c r="M2133" s="35">
        <f t="shared" si="972"/>
        <v>99.58521466045292</v>
      </c>
    </row>
    <row r="2134" spans="1:13" ht="25.5">
      <c r="A2134" s="59" t="s">
        <v>151</v>
      </c>
      <c r="B2134" s="28" t="s">
        <v>741</v>
      </c>
      <c r="C2134" s="28" t="s">
        <v>148</v>
      </c>
      <c r="D2134" s="28" t="s">
        <v>150</v>
      </c>
      <c r="E2134" s="28" t="s">
        <v>857</v>
      </c>
      <c r="F2134" s="28" t="s">
        <v>152</v>
      </c>
      <c r="G2134" s="35">
        <v>371255.8</v>
      </c>
      <c r="H2134" s="35">
        <v>371255.8</v>
      </c>
      <c r="I2134" s="35">
        <v>303268.25552000001</v>
      </c>
      <c r="J2134" s="35">
        <v>303268.25552000001</v>
      </c>
      <c r="K2134" s="35">
        <v>302018.81229999999</v>
      </c>
      <c r="L2134" s="35">
        <f t="shared" si="971"/>
        <v>81.350597701099886</v>
      </c>
      <c r="M2134" s="35">
        <f t="shared" si="972"/>
        <v>99.588007251910469</v>
      </c>
    </row>
    <row r="2135" spans="1:13">
      <c r="A2135" s="59" t="s">
        <v>858</v>
      </c>
      <c r="B2135" s="28" t="s">
        <v>741</v>
      </c>
      <c r="C2135" s="28" t="s">
        <v>148</v>
      </c>
      <c r="D2135" s="28" t="s">
        <v>150</v>
      </c>
      <c r="E2135" s="28" t="s">
        <v>857</v>
      </c>
      <c r="F2135" s="28" t="s">
        <v>859</v>
      </c>
      <c r="G2135" s="35">
        <v>15968.6</v>
      </c>
      <c r="H2135" s="35">
        <v>15968.6</v>
      </c>
      <c r="I2135" s="35">
        <v>8517.9111300000004</v>
      </c>
      <c r="J2135" s="35">
        <v>8517.9111300000004</v>
      </c>
      <c r="K2135" s="35">
        <v>8474.1110399999998</v>
      </c>
      <c r="L2135" s="35">
        <f t="shared" si="971"/>
        <v>53.067338652104759</v>
      </c>
      <c r="M2135" s="35">
        <f t="shared" si="972"/>
        <v>99.485788366049775</v>
      </c>
    </row>
    <row r="2136" spans="1:13">
      <c r="A2136" s="62" t="s">
        <v>612</v>
      </c>
      <c r="B2136" s="28" t="s">
        <v>741</v>
      </c>
      <c r="C2136" s="28" t="s">
        <v>148</v>
      </c>
      <c r="D2136" s="28" t="s">
        <v>150</v>
      </c>
      <c r="E2136" s="29" t="s">
        <v>613</v>
      </c>
      <c r="F2136" s="28"/>
      <c r="G2136" s="35"/>
      <c r="H2136" s="35">
        <f>H2137</f>
        <v>405.298</v>
      </c>
      <c r="I2136" s="35">
        <f t="shared" ref="I2136:K2136" si="1000">I2137</f>
        <v>405.298</v>
      </c>
      <c r="J2136" s="35">
        <f t="shared" si="1000"/>
        <v>405.298</v>
      </c>
      <c r="K2136" s="35">
        <f t="shared" si="1000"/>
        <v>405.298</v>
      </c>
      <c r="L2136" s="35">
        <f t="shared" si="971"/>
        <v>100</v>
      </c>
      <c r="M2136" s="35">
        <f t="shared" si="972"/>
        <v>100</v>
      </c>
    </row>
    <row r="2137" spans="1:13">
      <c r="A2137" s="62" t="s">
        <v>612</v>
      </c>
      <c r="B2137" s="28" t="s">
        <v>741</v>
      </c>
      <c r="C2137" s="28" t="s">
        <v>148</v>
      </c>
      <c r="D2137" s="28" t="s">
        <v>150</v>
      </c>
      <c r="E2137" s="29" t="s">
        <v>614</v>
      </c>
      <c r="F2137" s="28"/>
      <c r="G2137" s="35"/>
      <c r="H2137" s="35">
        <f>H2138+H2140</f>
        <v>405.298</v>
      </c>
      <c r="I2137" s="35">
        <f t="shared" ref="I2137:K2137" si="1001">I2138+I2140</f>
        <v>405.298</v>
      </c>
      <c r="J2137" s="35">
        <f t="shared" si="1001"/>
        <v>405.298</v>
      </c>
      <c r="K2137" s="35">
        <f t="shared" si="1001"/>
        <v>405.298</v>
      </c>
      <c r="L2137" s="35">
        <f t="shared" si="971"/>
        <v>100</v>
      </c>
      <c r="M2137" s="35">
        <f t="shared" si="972"/>
        <v>100</v>
      </c>
    </row>
    <row r="2138" spans="1:13">
      <c r="A2138" s="59" t="s">
        <v>68</v>
      </c>
      <c r="B2138" s="28" t="s">
        <v>741</v>
      </c>
      <c r="C2138" s="28" t="s">
        <v>148</v>
      </c>
      <c r="D2138" s="28" t="s">
        <v>150</v>
      </c>
      <c r="E2138" s="29" t="s">
        <v>614</v>
      </c>
      <c r="F2138" s="28">
        <v>300</v>
      </c>
      <c r="G2138" s="35"/>
      <c r="H2138" s="35">
        <f>H2139</f>
        <v>83.488</v>
      </c>
      <c r="I2138" s="35">
        <f t="shared" ref="I2138:K2138" si="1002">I2139</f>
        <v>83.488</v>
      </c>
      <c r="J2138" s="35">
        <f t="shared" si="1002"/>
        <v>83.488</v>
      </c>
      <c r="K2138" s="35">
        <f t="shared" si="1002"/>
        <v>83.488</v>
      </c>
      <c r="L2138" s="35">
        <f t="shared" si="971"/>
        <v>100</v>
      </c>
      <c r="M2138" s="35">
        <f t="shared" si="972"/>
        <v>100</v>
      </c>
    </row>
    <row r="2139" spans="1:13" ht="25.5">
      <c r="A2139" s="59" t="s">
        <v>151</v>
      </c>
      <c r="B2139" s="28" t="s">
        <v>741</v>
      </c>
      <c r="C2139" s="28" t="s">
        <v>148</v>
      </c>
      <c r="D2139" s="28" t="s">
        <v>150</v>
      </c>
      <c r="E2139" s="29" t="s">
        <v>614</v>
      </c>
      <c r="F2139" s="28">
        <v>320</v>
      </c>
      <c r="G2139" s="35"/>
      <c r="H2139" s="35">
        <v>83.488</v>
      </c>
      <c r="I2139" s="35">
        <v>83.488</v>
      </c>
      <c r="J2139" s="35">
        <v>83.488</v>
      </c>
      <c r="K2139" s="35">
        <v>83.488</v>
      </c>
      <c r="L2139" s="35">
        <f t="shared" si="971"/>
        <v>100</v>
      </c>
      <c r="M2139" s="35">
        <f t="shared" si="972"/>
        <v>100</v>
      </c>
    </row>
    <row r="2140" spans="1:13">
      <c r="A2140" s="62" t="s">
        <v>26</v>
      </c>
      <c r="B2140" s="28" t="s">
        <v>741</v>
      </c>
      <c r="C2140" s="28" t="s">
        <v>148</v>
      </c>
      <c r="D2140" s="28" t="s">
        <v>150</v>
      </c>
      <c r="E2140" s="29" t="s">
        <v>614</v>
      </c>
      <c r="F2140" s="28">
        <v>500</v>
      </c>
      <c r="G2140" s="35"/>
      <c r="H2140" s="35">
        <f>H2141</f>
        <v>321.81</v>
      </c>
      <c r="I2140" s="35">
        <f t="shared" ref="I2140:K2140" si="1003">I2141</f>
        <v>321.81</v>
      </c>
      <c r="J2140" s="35">
        <f t="shared" si="1003"/>
        <v>321.81</v>
      </c>
      <c r="K2140" s="35">
        <f t="shared" si="1003"/>
        <v>321.81</v>
      </c>
      <c r="L2140" s="35">
        <f t="shared" si="971"/>
        <v>100</v>
      </c>
      <c r="M2140" s="35">
        <f t="shared" si="972"/>
        <v>100</v>
      </c>
    </row>
    <row r="2141" spans="1:13">
      <c r="A2141" s="62" t="s">
        <v>352</v>
      </c>
      <c r="B2141" s="28" t="s">
        <v>741</v>
      </c>
      <c r="C2141" s="28" t="s">
        <v>148</v>
      </c>
      <c r="D2141" s="28" t="s">
        <v>150</v>
      </c>
      <c r="E2141" s="29" t="s">
        <v>614</v>
      </c>
      <c r="F2141" s="28">
        <v>540</v>
      </c>
      <c r="G2141" s="35"/>
      <c r="H2141" s="35">
        <v>321.81</v>
      </c>
      <c r="I2141" s="35">
        <v>321.81</v>
      </c>
      <c r="J2141" s="35">
        <v>321.81</v>
      </c>
      <c r="K2141" s="35">
        <v>321.81</v>
      </c>
      <c r="L2141" s="35">
        <f t="shared" si="971"/>
        <v>100</v>
      </c>
      <c r="M2141" s="35">
        <f t="shared" si="972"/>
        <v>100</v>
      </c>
    </row>
    <row r="2142" spans="1:13">
      <c r="A2142" s="59" t="s">
        <v>454</v>
      </c>
      <c r="B2142" s="28" t="s">
        <v>741</v>
      </c>
      <c r="C2142" s="28" t="s">
        <v>148</v>
      </c>
      <c r="D2142" s="28" t="s">
        <v>19</v>
      </c>
      <c r="E2142" s="58" t="s">
        <v>0</v>
      </c>
      <c r="F2142" s="58"/>
      <c r="G2142" s="35">
        <f>G2143</f>
        <v>1623364.8000000003</v>
      </c>
      <c r="H2142" s="35">
        <f t="shared" ref="H2142:K2142" si="1004">H2143</f>
        <v>1623364.784</v>
      </c>
      <c r="I2142" s="35">
        <f t="shared" si="1004"/>
        <v>1174018.5427699999</v>
      </c>
      <c r="J2142" s="35">
        <f t="shared" si="1004"/>
        <v>1174018.5427699999</v>
      </c>
      <c r="K2142" s="35">
        <f t="shared" si="1004"/>
        <v>1173929.2977700001</v>
      </c>
      <c r="L2142" s="35">
        <f t="shared" si="971"/>
        <v>72.314572136856214</v>
      </c>
      <c r="M2142" s="35">
        <f t="shared" si="972"/>
        <v>99.992398331308351</v>
      </c>
    </row>
    <row r="2143" spans="1:13" ht="38.25">
      <c r="A2143" s="59" t="s">
        <v>299</v>
      </c>
      <c r="B2143" s="28" t="s">
        <v>741</v>
      </c>
      <c r="C2143" s="28" t="s">
        <v>148</v>
      </c>
      <c r="D2143" s="28" t="s">
        <v>19</v>
      </c>
      <c r="E2143" s="28" t="s">
        <v>300</v>
      </c>
      <c r="F2143" s="58" t="s">
        <v>0</v>
      </c>
      <c r="G2143" s="35">
        <f>G2144+G2151</f>
        <v>1623364.8000000003</v>
      </c>
      <c r="H2143" s="35">
        <f t="shared" ref="H2143:K2143" si="1005">H2144+H2151</f>
        <v>1623364.784</v>
      </c>
      <c r="I2143" s="35">
        <f t="shared" si="1005"/>
        <v>1174018.5427699999</v>
      </c>
      <c r="J2143" s="35">
        <f t="shared" si="1005"/>
        <v>1174018.5427699999</v>
      </c>
      <c r="K2143" s="35">
        <f t="shared" si="1005"/>
        <v>1173929.2977700001</v>
      </c>
      <c r="L2143" s="35">
        <f t="shared" si="971"/>
        <v>72.314572136856214</v>
      </c>
      <c r="M2143" s="35">
        <f t="shared" si="972"/>
        <v>99.992398331308351</v>
      </c>
    </row>
    <row r="2144" spans="1:13" ht="38.25">
      <c r="A2144" s="59" t="s">
        <v>770</v>
      </c>
      <c r="B2144" s="28" t="s">
        <v>741</v>
      </c>
      <c r="C2144" s="28" t="s">
        <v>148</v>
      </c>
      <c r="D2144" s="28" t="s">
        <v>19</v>
      </c>
      <c r="E2144" s="28" t="s">
        <v>771</v>
      </c>
      <c r="F2144" s="58" t="s">
        <v>0</v>
      </c>
      <c r="G2144" s="35">
        <f>G2145+G2148</f>
        <v>189.1</v>
      </c>
      <c r="H2144" s="35">
        <f t="shared" ref="H2144:K2144" si="1006">H2145+H2148</f>
        <v>189.1</v>
      </c>
      <c r="I2144" s="35">
        <f t="shared" si="1006"/>
        <v>13.9001</v>
      </c>
      <c r="J2144" s="35">
        <f t="shared" si="1006"/>
        <v>13.9001</v>
      </c>
      <c r="K2144" s="35">
        <f t="shared" si="1006"/>
        <v>13.9001</v>
      </c>
      <c r="L2144" s="35">
        <f t="shared" si="971"/>
        <v>7.3506610259122152</v>
      </c>
      <c r="M2144" s="35">
        <f t="shared" si="972"/>
        <v>100</v>
      </c>
    </row>
    <row r="2145" spans="1:13" ht="178.5">
      <c r="A2145" s="59" t="s">
        <v>860</v>
      </c>
      <c r="B2145" s="28" t="s">
        <v>741</v>
      </c>
      <c r="C2145" s="28" t="s">
        <v>148</v>
      </c>
      <c r="D2145" s="28" t="s">
        <v>19</v>
      </c>
      <c r="E2145" s="28" t="s">
        <v>861</v>
      </c>
      <c r="F2145" s="58" t="s">
        <v>0</v>
      </c>
      <c r="G2145" s="35">
        <f>G2146</f>
        <v>164.1</v>
      </c>
      <c r="H2145" s="35">
        <f t="shared" ref="H2145:K2146" si="1007">H2146</f>
        <v>164.1</v>
      </c>
      <c r="I2145" s="35">
        <f t="shared" si="1007"/>
        <v>0</v>
      </c>
      <c r="J2145" s="35">
        <f t="shared" si="1007"/>
        <v>0</v>
      </c>
      <c r="K2145" s="35">
        <f t="shared" si="1007"/>
        <v>0</v>
      </c>
      <c r="L2145" s="35">
        <f t="shared" si="971"/>
        <v>0</v>
      </c>
      <c r="M2145" s="35">
        <v>0</v>
      </c>
    </row>
    <row r="2146" spans="1:13" ht="25.5">
      <c r="A2146" s="59" t="s">
        <v>80</v>
      </c>
      <c r="B2146" s="28" t="s">
        <v>741</v>
      </c>
      <c r="C2146" s="28" t="s">
        <v>148</v>
      </c>
      <c r="D2146" s="28" t="s">
        <v>19</v>
      </c>
      <c r="E2146" s="28" t="s">
        <v>861</v>
      </c>
      <c r="F2146" s="28" t="s">
        <v>81</v>
      </c>
      <c r="G2146" s="35">
        <f>G2147</f>
        <v>164.1</v>
      </c>
      <c r="H2146" s="35">
        <f t="shared" si="1007"/>
        <v>164.1</v>
      </c>
      <c r="I2146" s="35">
        <f t="shared" si="1007"/>
        <v>0</v>
      </c>
      <c r="J2146" s="35">
        <f t="shared" si="1007"/>
        <v>0</v>
      </c>
      <c r="K2146" s="35">
        <f t="shared" si="1007"/>
        <v>0</v>
      </c>
      <c r="L2146" s="35">
        <f t="shared" si="971"/>
        <v>0</v>
      </c>
      <c r="M2146" s="35">
        <v>0</v>
      </c>
    </row>
    <row r="2147" spans="1:13">
      <c r="A2147" s="59" t="s">
        <v>271</v>
      </c>
      <c r="B2147" s="28" t="s">
        <v>741</v>
      </c>
      <c r="C2147" s="28" t="s">
        <v>148</v>
      </c>
      <c r="D2147" s="28" t="s">
        <v>19</v>
      </c>
      <c r="E2147" s="28" t="s">
        <v>861</v>
      </c>
      <c r="F2147" s="28" t="s">
        <v>272</v>
      </c>
      <c r="G2147" s="35">
        <v>164.1</v>
      </c>
      <c r="H2147" s="35">
        <v>164.1</v>
      </c>
      <c r="I2147" s="35">
        <v>0</v>
      </c>
      <c r="J2147" s="35">
        <v>0</v>
      </c>
      <c r="K2147" s="35">
        <v>0</v>
      </c>
      <c r="L2147" s="35">
        <f t="shared" ref="L2147:L2207" si="1008">K2147/H2147*100</f>
        <v>0</v>
      </c>
      <c r="M2147" s="35">
        <v>0</v>
      </c>
    </row>
    <row r="2148" spans="1:13" ht="51">
      <c r="A2148" s="59" t="s">
        <v>862</v>
      </c>
      <c r="B2148" s="28" t="s">
        <v>741</v>
      </c>
      <c r="C2148" s="28" t="s">
        <v>148</v>
      </c>
      <c r="D2148" s="28" t="s">
        <v>19</v>
      </c>
      <c r="E2148" s="28" t="s">
        <v>863</v>
      </c>
      <c r="F2148" s="58" t="s">
        <v>0</v>
      </c>
      <c r="G2148" s="35">
        <f>G2149</f>
        <v>25</v>
      </c>
      <c r="H2148" s="35">
        <f t="shared" ref="H2148:K2149" si="1009">H2149</f>
        <v>25</v>
      </c>
      <c r="I2148" s="35">
        <f t="shared" si="1009"/>
        <v>13.9001</v>
      </c>
      <c r="J2148" s="35">
        <f t="shared" si="1009"/>
        <v>13.9001</v>
      </c>
      <c r="K2148" s="35">
        <f t="shared" si="1009"/>
        <v>13.9001</v>
      </c>
      <c r="L2148" s="35">
        <f t="shared" si="1008"/>
        <v>55.600400000000008</v>
      </c>
      <c r="M2148" s="35">
        <f t="shared" ref="M2148:M2207" si="1010">K2148/I2148*100</f>
        <v>100</v>
      </c>
    </row>
    <row r="2149" spans="1:13" ht="25.5">
      <c r="A2149" s="59" t="s">
        <v>80</v>
      </c>
      <c r="B2149" s="28" t="s">
        <v>741</v>
      </c>
      <c r="C2149" s="28" t="s">
        <v>148</v>
      </c>
      <c r="D2149" s="28" t="s">
        <v>19</v>
      </c>
      <c r="E2149" s="28" t="s">
        <v>863</v>
      </c>
      <c r="F2149" s="28" t="s">
        <v>81</v>
      </c>
      <c r="G2149" s="35">
        <f>G2150</f>
        <v>25</v>
      </c>
      <c r="H2149" s="35">
        <f t="shared" si="1009"/>
        <v>25</v>
      </c>
      <c r="I2149" s="35">
        <f t="shared" si="1009"/>
        <v>13.9001</v>
      </c>
      <c r="J2149" s="35">
        <f t="shared" si="1009"/>
        <v>13.9001</v>
      </c>
      <c r="K2149" s="35">
        <f t="shared" si="1009"/>
        <v>13.9001</v>
      </c>
      <c r="L2149" s="35">
        <f t="shared" si="1008"/>
        <v>55.600400000000008</v>
      </c>
      <c r="M2149" s="35">
        <f t="shared" si="1010"/>
        <v>100</v>
      </c>
    </row>
    <row r="2150" spans="1:13">
      <c r="A2150" s="59" t="s">
        <v>271</v>
      </c>
      <c r="B2150" s="28" t="s">
        <v>741</v>
      </c>
      <c r="C2150" s="28" t="s">
        <v>148</v>
      </c>
      <c r="D2150" s="28" t="s">
        <v>19</v>
      </c>
      <c r="E2150" s="28" t="s">
        <v>863</v>
      </c>
      <c r="F2150" s="28" t="s">
        <v>272</v>
      </c>
      <c r="G2150" s="35">
        <v>25</v>
      </c>
      <c r="H2150" s="35">
        <v>25</v>
      </c>
      <c r="I2150" s="35">
        <v>13.9001</v>
      </c>
      <c r="J2150" s="35">
        <v>13.9001</v>
      </c>
      <c r="K2150" s="35">
        <v>13.9001</v>
      </c>
      <c r="L2150" s="35">
        <f t="shared" si="1008"/>
        <v>55.600400000000008</v>
      </c>
      <c r="M2150" s="35">
        <f t="shared" si="1010"/>
        <v>100</v>
      </c>
    </row>
    <row r="2151" spans="1:13" ht="38.25">
      <c r="A2151" s="59" t="s">
        <v>765</v>
      </c>
      <c r="B2151" s="28" t="s">
        <v>741</v>
      </c>
      <c r="C2151" s="28" t="s">
        <v>148</v>
      </c>
      <c r="D2151" s="28" t="s">
        <v>19</v>
      </c>
      <c r="E2151" s="28" t="s">
        <v>766</v>
      </c>
      <c r="F2151" s="58" t="s">
        <v>0</v>
      </c>
      <c r="G2151" s="35">
        <f>G2152+G2155+G2160+G2165+G2170+G2175+G2180</f>
        <v>1623175.7000000002</v>
      </c>
      <c r="H2151" s="35">
        <f t="shared" ref="H2151:K2151" si="1011">H2152+H2155+H2160+H2165+H2170+H2175+H2180</f>
        <v>1623175.6839999999</v>
      </c>
      <c r="I2151" s="35">
        <f t="shared" si="1011"/>
        <v>1174004.64267</v>
      </c>
      <c r="J2151" s="35">
        <f t="shared" si="1011"/>
        <v>1174004.64267</v>
      </c>
      <c r="K2151" s="35">
        <f t="shared" si="1011"/>
        <v>1173915.3976700001</v>
      </c>
      <c r="L2151" s="35">
        <f t="shared" si="1008"/>
        <v>72.322140433813956</v>
      </c>
      <c r="M2151" s="35">
        <f t="shared" si="1010"/>
        <v>99.992398241305338</v>
      </c>
    </row>
    <row r="2152" spans="1:13" ht="38.25">
      <c r="A2152" s="59" t="s">
        <v>864</v>
      </c>
      <c r="B2152" s="28" t="s">
        <v>741</v>
      </c>
      <c r="C2152" s="28" t="s">
        <v>148</v>
      </c>
      <c r="D2152" s="28" t="s">
        <v>19</v>
      </c>
      <c r="E2152" s="28" t="s">
        <v>865</v>
      </c>
      <c r="F2152" s="58" t="s">
        <v>0</v>
      </c>
      <c r="G2152" s="35">
        <f>G2153</f>
        <v>384193</v>
      </c>
      <c r="H2152" s="35">
        <f t="shared" ref="H2152:K2153" si="1012">H2153</f>
        <v>384193</v>
      </c>
      <c r="I2152" s="35">
        <f t="shared" si="1012"/>
        <v>311840.30421999999</v>
      </c>
      <c r="J2152" s="35">
        <f t="shared" si="1012"/>
        <v>311840.30421999999</v>
      </c>
      <c r="K2152" s="35">
        <f t="shared" si="1012"/>
        <v>311840.30421999999</v>
      </c>
      <c r="L2152" s="35">
        <f t="shared" si="1008"/>
        <v>81.167617374600781</v>
      </c>
      <c r="M2152" s="35">
        <f t="shared" si="1010"/>
        <v>100</v>
      </c>
    </row>
    <row r="2153" spans="1:13">
      <c r="A2153" s="59" t="s">
        <v>68</v>
      </c>
      <c r="B2153" s="28" t="s">
        <v>741</v>
      </c>
      <c r="C2153" s="28" t="s">
        <v>148</v>
      </c>
      <c r="D2153" s="28" t="s">
        <v>19</v>
      </c>
      <c r="E2153" s="28" t="s">
        <v>865</v>
      </c>
      <c r="F2153" s="28" t="s">
        <v>69</v>
      </c>
      <c r="G2153" s="35">
        <f>G2154</f>
        <v>384193</v>
      </c>
      <c r="H2153" s="35">
        <f t="shared" si="1012"/>
        <v>384193</v>
      </c>
      <c r="I2153" s="35">
        <f t="shared" si="1012"/>
        <v>311840.30421999999</v>
      </c>
      <c r="J2153" s="35">
        <f t="shared" si="1012"/>
        <v>311840.30421999999</v>
      </c>
      <c r="K2153" s="35">
        <f t="shared" si="1012"/>
        <v>311840.30421999999</v>
      </c>
      <c r="L2153" s="35">
        <f t="shared" si="1008"/>
        <v>81.167617374600781</v>
      </c>
      <c r="M2153" s="35">
        <f t="shared" si="1010"/>
        <v>100</v>
      </c>
    </row>
    <row r="2154" spans="1:13" ht="25.5">
      <c r="A2154" s="59" t="s">
        <v>463</v>
      </c>
      <c r="B2154" s="28" t="s">
        <v>741</v>
      </c>
      <c r="C2154" s="28" t="s">
        <v>148</v>
      </c>
      <c r="D2154" s="28" t="s">
        <v>19</v>
      </c>
      <c r="E2154" s="28" t="s">
        <v>865</v>
      </c>
      <c r="F2154" s="28" t="s">
        <v>464</v>
      </c>
      <c r="G2154" s="35">
        <v>384193</v>
      </c>
      <c r="H2154" s="35">
        <v>384193</v>
      </c>
      <c r="I2154" s="35">
        <v>311840.30421999999</v>
      </c>
      <c r="J2154" s="35">
        <v>311840.30421999999</v>
      </c>
      <c r="K2154" s="35">
        <v>311840.30421999999</v>
      </c>
      <c r="L2154" s="35">
        <f t="shared" si="1008"/>
        <v>81.167617374600781</v>
      </c>
      <c r="M2154" s="35">
        <f t="shared" si="1010"/>
        <v>100</v>
      </c>
    </row>
    <row r="2155" spans="1:13" ht="89.25">
      <c r="A2155" s="59" t="s">
        <v>866</v>
      </c>
      <c r="B2155" s="28" t="s">
        <v>741</v>
      </c>
      <c r="C2155" s="28" t="s">
        <v>148</v>
      </c>
      <c r="D2155" s="28" t="s">
        <v>19</v>
      </c>
      <c r="E2155" s="28" t="s">
        <v>867</v>
      </c>
      <c r="F2155" s="58" t="s">
        <v>0</v>
      </c>
      <c r="G2155" s="35">
        <f>G2156+G2158</f>
        <v>14746.199999999999</v>
      </c>
      <c r="H2155" s="35">
        <f t="shared" ref="H2155:K2155" si="1013">H2156+H2158</f>
        <v>14746.199999999999</v>
      </c>
      <c r="I2155" s="35">
        <f t="shared" si="1013"/>
        <v>6948.6796100000001</v>
      </c>
      <c r="J2155" s="35">
        <f t="shared" si="1013"/>
        <v>6948.6796100000001</v>
      </c>
      <c r="K2155" s="35">
        <f t="shared" si="1013"/>
        <v>6948.6796100000001</v>
      </c>
      <c r="L2155" s="35">
        <f t="shared" si="1008"/>
        <v>47.121832133024107</v>
      </c>
      <c r="M2155" s="35">
        <f t="shared" si="1010"/>
        <v>100</v>
      </c>
    </row>
    <row r="2156" spans="1:13" ht="25.5">
      <c r="A2156" s="59" t="s">
        <v>64</v>
      </c>
      <c r="B2156" s="28" t="s">
        <v>741</v>
      </c>
      <c r="C2156" s="28" t="s">
        <v>148</v>
      </c>
      <c r="D2156" s="28" t="s">
        <v>19</v>
      </c>
      <c r="E2156" s="28" t="s">
        <v>867</v>
      </c>
      <c r="F2156" s="28" t="s">
        <v>65</v>
      </c>
      <c r="G2156" s="35">
        <f>G2157</f>
        <v>10.9</v>
      </c>
      <c r="H2156" s="35">
        <f t="shared" ref="H2156:K2156" si="1014">H2157</f>
        <v>10.9</v>
      </c>
      <c r="I2156" s="35">
        <f t="shared" si="1014"/>
        <v>2.32064</v>
      </c>
      <c r="J2156" s="35">
        <f t="shared" si="1014"/>
        <v>2.32064</v>
      </c>
      <c r="K2156" s="35">
        <f t="shared" si="1014"/>
        <v>2.32064</v>
      </c>
      <c r="L2156" s="35">
        <f t="shared" si="1008"/>
        <v>21.290275229357796</v>
      </c>
      <c r="M2156" s="35">
        <f t="shared" si="1010"/>
        <v>100</v>
      </c>
    </row>
    <row r="2157" spans="1:13" ht="25.5">
      <c r="A2157" s="59" t="s">
        <v>66</v>
      </c>
      <c r="B2157" s="28" t="s">
        <v>741</v>
      </c>
      <c r="C2157" s="28" t="s">
        <v>148</v>
      </c>
      <c r="D2157" s="28" t="s">
        <v>19</v>
      </c>
      <c r="E2157" s="28" t="s">
        <v>867</v>
      </c>
      <c r="F2157" s="28" t="s">
        <v>67</v>
      </c>
      <c r="G2157" s="35">
        <v>10.9</v>
      </c>
      <c r="H2157" s="35">
        <v>10.9</v>
      </c>
      <c r="I2157" s="35">
        <v>2.32064</v>
      </c>
      <c r="J2157" s="35">
        <v>2.32064</v>
      </c>
      <c r="K2157" s="35">
        <v>2.32064</v>
      </c>
      <c r="L2157" s="35">
        <f t="shared" si="1008"/>
        <v>21.290275229357796</v>
      </c>
      <c r="M2157" s="35">
        <f t="shared" si="1010"/>
        <v>100</v>
      </c>
    </row>
    <row r="2158" spans="1:13">
      <c r="A2158" s="59" t="s">
        <v>68</v>
      </c>
      <c r="B2158" s="28" t="s">
        <v>741</v>
      </c>
      <c r="C2158" s="28" t="s">
        <v>148</v>
      </c>
      <c r="D2158" s="28" t="s">
        <v>19</v>
      </c>
      <c r="E2158" s="28" t="s">
        <v>867</v>
      </c>
      <c r="F2158" s="28" t="s">
        <v>69</v>
      </c>
      <c r="G2158" s="35">
        <f>G2159</f>
        <v>14735.3</v>
      </c>
      <c r="H2158" s="35">
        <f t="shared" ref="H2158:K2158" si="1015">H2159</f>
        <v>14735.3</v>
      </c>
      <c r="I2158" s="35">
        <f t="shared" si="1015"/>
        <v>6946.3589700000002</v>
      </c>
      <c r="J2158" s="35">
        <f t="shared" si="1015"/>
        <v>6946.3589700000002</v>
      </c>
      <c r="K2158" s="35">
        <f t="shared" si="1015"/>
        <v>6946.3589700000002</v>
      </c>
      <c r="L2158" s="35">
        <f t="shared" si="1008"/>
        <v>47.14094025910569</v>
      </c>
      <c r="M2158" s="35">
        <f t="shared" si="1010"/>
        <v>100</v>
      </c>
    </row>
    <row r="2159" spans="1:13" ht="25.5">
      <c r="A2159" s="59" t="s">
        <v>463</v>
      </c>
      <c r="B2159" s="28" t="s">
        <v>741</v>
      </c>
      <c r="C2159" s="28" t="s">
        <v>148</v>
      </c>
      <c r="D2159" s="28" t="s">
        <v>19</v>
      </c>
      <c r="E2159" s="28" t="s">
        <v>867</v>
      </c>
      <c r="F2159" s="28" t="s">
        <v>464</v>
      </c>
      <c r="G2159" s="35">
        <v>14735.3</v>
      </c>
      <c r="H2159" s="35">
        <v>14735.3</v>
      </c>
      <c r="I2159" s="35">
        <v>6946.3589700000002</v>
      </c>
      <c r="J2159" s="35">
        <v>6946.3589700000002</v>
      </c>
      <c r="K2159" s="35">
        <v>6946.3589700000002</v>
      </c>
      <c r="L2159" s="35">
        <f t="shared" si="1008"/>
        <v>47.14094025910569</v>
      </c>
      <c r="M2159" s="35">
        <f t="shared" si="1010"/>
        <v>100</v>
      </c>
    </row>
    <row r="2160" spans="1:13" ht="127.5">
      <c r="A2160" s="59" t="s">
        <v>868</v>
      </c>
      <c r="B2160" s="28" t="s">
        <v>741</v>
      </c>
      <c r="C2160" s="28" t="s">
        <v>148</v>
      </c>
      <c r="D2160" s="28" t="s">
        <v>19</v>
      </c>
      <c r="E2160" s="28" t="s">
        <v>869</v>
      </c>
      <c r="F2160" s="58" t="s">
        <v>0</v>
      </c>
      <c r="G2160" s="35">
        <f>G2161+G2163</f>
        <v>420734.6</v>
      </c>
      <c r="H2160" s="35">
        <f t="shared" ref="H2160:K2160" si="1016">H2161+H2163</f>
        <v>420734.6</v>
      </c>
      <c r="I2160" s="35">
        <f t="shared" si="1016"/>
        <v>296399.38584</v>
      </c>
      <c r="J2160" s="35">
        <f t="shared" si="1016"/>
        <v>296399.38584</v>
      </c>
      <c r="K2160" s="35">
        <f t="shared" si="1016"/>
        <v>296396.18584000005</v>
      </c>
      <c r="L2160" s="35">
        <f t="shared" si="1008"/>
        <v>70.447304747458389</v>
      </c>
      <c r="M2160" s="35">
        <f t="shared" si="1010"/>
        <v>99.998920375630703</v>
      </c>
    </row>
    <row r="2161" spans="1:13" ht="25.5">
      <c r="A2161" s="59" t="s">
        <v>64</v>
      </c>
      <c r="B2161" s="28" t="s">
        <v>741</v>
      </c>
      <c r="C2161" s="28" t="s">
        <v>148</v>
      </c>
      <c r="D2161" s="28" t="s">
        <v>19</v>
      </c>
      <c r="E2161" s="28" t="s">
        <v>869</v>
      </c>
      <c r="F2161" s="28" t="s">
        <v>65</v>
      </c>
      <c r="G2161" s="35">
        <f>G2162</f>
        <v>480</v>
      </c>
      <c r="H2161" s="35">
        <f t="shared" ref="H2161:K2161" si="1017">H2162</f>
        <v>480</v>
      </c>
      <c r="I2161" s="35">
        <f t="shared" si="1017"/>
        <v>312.00380999999999</v>
      </c>
      <c r="J2161" s="35">
        <f t="shared" si="1017"/>
        <v>312.00380999999999</v>
      </c>
      <c r="K2161" s="35">
        <f t="shared" si="1017"/>
        <v>312.00380999999999</v>
      </c>
      <c r="L2161" s="35">
        <f t="shared" si="1008"/>
        <v>65.00079375</v>
      </c>
      <c r="M2161" s="35">
        <f t="shared" si="1010"/>
        <v>100</v>
      </c>
    </row>
    <row r="2162" spans="1:13" ht="25.5">
      <c r="A2162" s="59" t="s">
        <v>66</v>
      </c>
      <c r="B2162" s="28" t="s">
        <v>741</v>
      </c>
      <c r="C2162" s="28" t="s">
        <v>148</v>
      </c>
      <c r="D2162" s="28" t="s">
        <v>19</v>
      </c>
      <c r="E2162" s="28" t="s">
        <v>869</v>
      </c>
      <c r="F2162" s="28" t="s">
        <v>67</v>
      </c>
      <c r="G2162" s="35">
        <v>480</v>
      </c>
      <c r="H2162" s="35">
        <v>480</v>
      </c>
      <c r="I2162" s="35">
        <v>312.00380999999999</v>
      </c>
      <c r="J2162" s="35">
        <v>312.00380999999999</v>
      </c>
      <c r="K2162" s="35">
        <v>312.00380999999999</v>
      </c>
      <c r="L2162" s="35">
        <f t="shared" si="1008"/>
        <v>65.00079375</v>
      </c>
      <c r="M2162" s="35">
        <f t="shared" si="1010"/>
        <v>100</v>
      </c>
    </row>
    <row r="2163" spans="1:13">
      <c r="A2163" s="59" t="s">
        <v>68</v>
      </c>
      <c r="B2163" s="28" t="s">
        <v>741</v>
      </c>
      <c r="C2163" s="28" t="s">
        <v>148</v>
      </c>
      <c r="D2163" s="28" t="s">
        <v>19</v>
      </c>
      <c r="E2163" s="28" t="s">
        <v>869</v>
      </c>
      <c r="F2163" s="28" t="s">
        <v>69</v>
      </c>
      <c r="G2163" s="35">
        <f>G2164</f>
        <v>420254.6</v>
      </c>
      <c r="H2163" s="35">
        <f t="shared" ref="H2163:K2163" si="1018">H2164</f>
        <v>420254.6</v>
      </c>
      <c r="I2163" s="35">
        <f t="shared" si="1018"/>
        <v>296087.38202999998</v>
      </c>
      <c r="J2163" s="35">
        <f t="shared" si="1018"/>
        <v>296087.38202999998</v>
      </c>
      <c r="K2163" s="35">
        <f t="shared" si="1018"/>
        <v>296084.18203000003</v>
      </c>
      <c r="L2163" s="35">
        <f t="shared" si="1008"/>
        <v>70.453525560457891</v>
      </c>
      <c r="M2163" s="35">
        <f t="shared" si="1010"/>
        <v>99.998919237970213</v>
      </c>
    </row>
    <row r="2164" spans="1:13" ht="25.5">
      <c r="A2164" s="59" t="s">
        <v>463</v>
      </c>
      <c r="B2164" s="28" t="s">
        <v>741</v>
      </c>
      <c r="C2164" s="28" t="s">
        <v>148</v>
      </c>
      <c r="D2164" s="28" t="s">
        <v>19</v>
      </c>
      <c r="E2164" s="28" t="s">
        <v>869</v>
      </c>
      <c r="F2164" s="28" t="s">
        <v>464</v>
      </c>
      <c r="G2164" s="35">
        <v>420254.6</v>
      </c>
      <c r="H2164" s="35">
        <v>420254.6</v>
      </c>
      <c r="I2164" s="35">
        <v>296087.38202999998</v>
      </c>
      <c r="J2164" s="35">
        <v>296087.38202999998</v>
      </c>
      <c r="K2164" s="35">
        <v>296084.18203000003</v>
      </c>
      <c r="L2164" s="35">
        <f t="shared" si="1008"/>
        <v>70.453525560457891</v>
      </c>
      <c r="M2164" s="35">
        <f t="shared" si="1010"/>
        <v>99.998919237970213</v>
      </c>
    </row>
    <row r="2165" spans="1:13">
      <c r="A2165" s="59" t="s">
        <v>870</v>
      </c>
      <c r="B2165" s="28" t="s">
        <v>741</v>
      </c>
      <c r="C2165" s="28" t="s">
        <v>148</v>
      </c>
      <c r="D2165" s="28" t="s">
        <v>19</v>
      </c>
      <c r="E2165" s="28" t="s">
        <v>871</v>
      </c>
      <c r="F2165" s="58" t="s">
        <v>0</v>
      </c>
      <c r="G2165" s="35">
        <f>G2166+G2168</f>
        <v>201833</v>
      </c>
      <c r="H2165" s="35">
        <f t="shared" ref="H2165:K2165" si="1019">H2166+H2168</f>
        <v>201832.978</v>
      </c>
      <c r="I2165" s="35">
        <f t="shared" si="1019"/>
        <v>145374.285</v>
      </c>
      <c r="J2165" s="35">
        <f t="shared" si="1019"/>
        <v>145374.285</v>
      </c>
      <c r="K2165" s="35">
        <f t="shared" si="1019"/>
        <v>145342.23892</v>
      </c>
      <c r="L2165" s="35">
        <f t="shared" si="1008"/>
        <v>72.011145235145875</v>
      </c>
      <c r="M2165" s="35">
        <f t="shared" si="1010"/>
        <v>99.977956156413768</v>
      </c>
    </row>
    <row r="2166" spans="1:13" ht="25.5">
      <c r="A2166" s="59" t="s">
        <v>64</v>
      </c>
      <c r="B2166" s="28" t="s">
        <v>741</v>
      </c>
      <c r="C2166" s="28" t="s">
        <v>148</v>
      </c>
      <c r="D2166" s="28" t="s">
        <v>19</v>
      </c>
      <c r="E2166" s="28" t="s">
        <v>871</v>
      </c>
      <c r="F2166" s="28" t="s">
        <v>65</v>
      </c>
      <c r="G2166" s="35">
        <f>G2167</f>
        <v>2468.9</v>
      </c>
      <c r="H2166" s="35">
        <f t="shared" ref="H2166:K2166" si="1020">H2167</f>
        <v>2468.877</v>
      </c>
      <c r="I2166" s="35">
        <f t="shared" si="1020"/>
        <v>1744.6980000000001</v>
      </c>
      <c r="J2166" s="35">
        <f t="shared" si="1020"/>
        <v>1744.6980000000001</v>
      </c>
      <c r="K2166" s="35">
        <f t="shared" si="1020"/>
        <v>1740.0145500000001</v>
      </c>
      <c r="L2166" s="35">
        <f t="shared" si="1008"/>
        <v>70.477976424098898</v>
      </c>
      <c r="M2166" s="35">
        <f t="shared" si="1010"/>
        <v>99.731560992217567</v>
      </c>
    </row>
    <row r="2167" spans="1:13" ht="25.5">
      <c r="A2167" s="59" t="s">
        <v>66</v>
      </c>
      <c r="B2167" s="28" t="s">
        <v>741</v>
      </c>
      <c r="C2167" s="28" t="s">
        <v>148</v>
      </c>
      <c r="D2167" s="28" t="s">
        <v>19</v>
      </c>
      <c r="E2167" s="28" t="s">
        <v>871</v>
      </c>
      <c r="F2167" s="28" t="s">
        <v>67</v>
      </c>
      <c r="G2167" s="35">
        <v>2468.9</v>
      </c>
      <c r="H2167" s="35">
        <v>2468.877</v>
      </c>
      <c r="I2167" s="35">
        <v>1744.6980000000001</v>
      </c>
      <c r="J2167" s="35">
        <v>1744.6980000000001</v>
      </c>
      <c r="K2167" s="35">
        <v>1740.0145500000001</v>
      </c>
      <c r="L2167" s="35">
        <f t="shared" si="1008"/>
        <v>70.477976424098898</v>
      </c>
      <c r="M2167" s="35">
        <f t="shared" si="1010"/>
        <v>99.731560992217567</v>
      </c>
    </row>
    <row r="2168" spans="1:13">
      <c r="A2168" s="59" t="s">
        <v>68</v>
      </c>
      <c r="B2168" s="28" t="s">
        <v>741</v>
      </c>
      <c r="C2168" s="28" t="s">
        <v>148</v>
      </c>
      <c r="D2168" s="28" t="s">
        <v>19</v>
      </c>
      <c r="E2168" s="28" t="s">
        <v>871</v>
      </c>
      <c r="F2168" s="28" t="s">
        <v>69</v>
      </c>
      <c r="G2168" s="35">
        <f>G2169</f>
        <v>199364.1</v>
      </c>
      <c r="H2168" s="35">
        <f t="shared" ref="H2168:K2168" si="1021">H2169</f>
        <v>199364.101</v>
      </c>
      <c r="I2168" s="35">
        <f t="shared" si="1021"/>
        <v>143629.587</v>
      </c>
      <c r="J2168" s="35">
        <f t="shared" si="1021"/>
        <v>143629.587</v>
      </c>
      <c r="K2168" s="35">
        <f t="shared" si="1021"/>
        <v>143602.22437000001</v>
      </c>
      <c r="L2168" s="35">
        <f t="shared" si="1008"/>
        <v>72.03013162836173</v>
      </c>
      <c r="M2168" s="35">
        <f t="shared" si="1010"/>
        <v>99.980949168920191</v>
      </c>
    </row>
    <row r="2169" spans="1:13" ht="25.5">
      <c r="A2169" s="59" t="s">
        <v>463</v>
      </c>
      <c r="B2169" s="28" t="s">
        <v>741</v>
      </c>
      <c r="C2169" s="28" t="s">
        <v>148</v>
      </c>
      <c r="D2169" s="28" t="s">
        <v>19</v>
      </c>
      <c r="E2169" s="28" t="s">
        <v>871</v>
      </c>
      <c r="F2169" s="28" t="s">
        <v>464</v>
      </c>
      <c r="G2169" s="35">
        <v>199364.1</v>
      </c>
      <c r="H2169" s="35">
        <v>199364.101</v>
      </c>
      <c r="I2169" s="35">
        <v>143629.587</v>
      </c>
      <c r="J2169" s="35">
        <v>143629.587</v>
      </c>
      <c r="K2169" s="35">
        <v>143602.22437000001</v>
      </c>
      <c r="L2169" s="35">
        <f t="shared" si="1008"/>
        <v>72.03013162836173</v>
      </c>
      <c r="M2169" s="35">
        <f t="shared" si="1010"/>
        <v>99.980949168920191</v>
      </c>
    </row>
    <row r="2170" spans="1:13" ht="25.5">
      <c r="A2170" s="59" t="s">
        <v>872</v>
      </c>
      <c r="B2170" s="28" t="s">
        <v>741</v>
      </c>
      <c r="C2170" s="28" t="s">
        <v>148</v>
      </c>
      <c r="D2170" s="28" t="s">
        <v>19</v>
      </c>
      <c r="E2170" s="28" t="s">
        <v>873</v>
      </c>
      <c r="F2170" s="58" t="s">
        <v>0</v>
      </c>
      <c r="G2170" s="35">
        <f>G2171+G2173</f>
        <v>185452.30000000002</v>
      </c>
      <c r="H2170" s="35">
        <f t="shared" ref="H2170:K2170" si="1022">H2171+H2173</f>
        <v>185452.31600000002</v>
      </c>
      <c r="I2170" s="35">
        <f t="shared" si="1022"/>
        <v>166537.66999999998</v>
      </c>
      <c r="J2170" s="35">
        <f t="shared" si="1022"/>
        <v>166537.66999999998</v>
      </c>
      <c r="K2170" s="35">
        <f t="shared" si="1022"/>
        <v>166487.15349</v>
      </c>
      <c r="L2170" s="35">
        <f t="shared" si="1008"/>
        <v>89.773563944059873</v>
      </c>
      <c r="M2170" s="35">
        <f t="shared" si="1010"/>
        <v>99.969666616567892</v>
      </c>
    </row>
    <row r="2171" spans="1:13" ht="25.5">
      <c r="A2171" s="59" t="s">
        <v>64</v>
      </c>
      <c r="B2171" s="28" t="s">
        <v>741</v>
      </c>
      <c r="C2171" s="28" t="s">
        <v>148</v>
      </c>
      <c r="D2171" s="28" t="s">
        <v>19</v>
      </c>
      <c r="E2171" s="28" t="s">
        <v>873</v>
      </c>
      <c r="F2171" s="28" t="s">
        <v>65</v>
      </c>
      <c r="G2171" s="35">
        <f>G2172</f>
        <v>3948.6</v>
      </c>
      <c r="H2171" s="35">
        <f t="shared" ref="H2171:K2171" si="1023">H2172</f>
        <v>3948.616</v>
      </c>
      <c r="I2171" s="35">
        <f t="shared" si="1023"/>
        <v>1846.9079999999999</v>
      </c>
      <c r="J2171" s="35">
        <f t="shared" si="1023"/>
        <v>1846.9079999999999</v>
      </c>
      <c r="K2171" s="35">
        <f t="shared" si="1023"/>
        <v>1804.3926200000001</v>
      </c>
      <c r="L2171" s="35">
        <f t="shared" si="1008"/>
        <v>45.696837068988231</v>
      </c>
      <c r="M2171" s="35">
        <f t="shared" si="1010"/>
        <v>97.698023940553625</v>
      </c>
    </row>
    <row r="2172" spans="1:13" ht="25.5">
      <c r="A2172" s="59" t="s">
        <v>66</v>
      </c>
      <c r="B2172" s="28" t="s">
        <v>741</v>
      </c>
      <c r="C2172" s="28" t="s">
        <v>148</v>
      </c>
      <c r="D2172" s="28" t="s">
        <v>19</v>
      </c>
      <c r="E2172" s="28" t="s">
        <v>873</v>
      </c>
      <c r="F2172" s="28" t="s">
        <v>67</v>
      </c>
      <c r="G2172" s="35">
        <v>3948.6</v>
      </c>
      <c r="H2172" s="35">
        <v>3948.616</v>
      </c>
      <c r="I2172" s="35">
        <v>1846.9079999999999</v>
      </c>
      <c r="J2172" s="35">
        <v>1846.9079999999999</v>
      </c>
      <c r="K2172" s="35">
        <v>1804.3926200000001</v>
      </c>
      <c r="L2172" s="35">
        <f t="shared" si="1008"/>
        <v>45.696837068988231</v>
      </c>
      <c r="M2172" s="35">
        <f t="shared" si="1010"/>
        <v>97.698023940553625</v>
      </c>
    </row>
    <row r="2173" spans="1:13">
      <c r="A2173" s="59" t="s">
        <v>68</v>
      </c>
      <c r="B2173" s="28" t="s">
        <v>741</v>
      </c>
      <c r="C2173" s="28" t="s">
        <v>148</v>
      </c>
      <c r="D2173" s="28" t="s">
        <v>19</v>
      </c>
      <c r="E2173" s="28" t="s">
        <v>873</v>
      </c>
      <c r="F2173" s="28" t="s">
        <v>69</v>
      </c>
      <c r="G2173" s="35">
        <f>G2174</f>
        <v>181503.7</v>
      </c>
      <c r="H2173" s="35">
        <f t="shared" ref="H2173:K2173" si="1024">H2174</f>
        <v>181503.7</v>
      </c>
      <c r="I2173" s="35">
        <f t="shared" si="1024"/>
        <v>164690.76199999999</v>
      </c>
      <c r="J2173" s="35">
        <f t="shared" si="1024"/>
        <v>164690.76199999999</v>
      </c>
      <c r="K2173" s="35">
        <f t="shared" si="1024"/>
        <v>164682.76087</v>
      </c>
      <c r="L2173" s="35">
        <f t="shared" si="1008"/>
        <v>90.732453867331614</v>
      </c>
      <c r="M2173" s="35">
        <f t="shared" si="1010"/>
        <v>99.995141725071392</v>
      </c>
    </row>
    <row r="2174" spans="1:13" ht="25.5">
      <c r="A2174" s="59" t="s">
        <v>463</v>
      </c>
      <c r="B2174" s="28" t="s">
        <v>741</v>
      </c>
      <c r="C2174" s="28" t="s">
        <v>148</v>
      </c>
      <c r="D2174" s="28" t="s">
        <v>19</v>
      </c>
      <c r="E2174" s="28" t="s">
        <v>873</v>
      </c>
      <c r="F2174" s="28" t="s">
        <v>464</v>
      </c>
      <c r="G2174" s="35">
        <v>181503.7</v>
      </c>
      <c r="H2174" s="35">
        <v>181503.7</v>
      </c>
      <c r="I2174" s="35">
        <v>164690.76199999999</v>
      </c>
      <c r="J2174" s="35">
        <v>164690.76199999999</v>
      </c>
      <c r="K2174" s="35">
        <v>164682.76087</v>
      </c>
      <c r="L2174" s="35">
        <f t="shared" si="1008"/>
        <v>90.732453867331614</v>
      </c>
      <c r="M2174" s="35">
        <f t="shared" si="1010"/>
        <v>99.995141725071392</v>
      </c>
    </row>
    <row r="2175" spans="1:13" ht="38.25">
      <c r="A2175" s="59" t="s">
        <v>874</v>
      </c>
      <c r="B2175" s="28" t="s">
        <v>741</v>
      </c>
      <c r="C2175" s="28" t="s">
        <v>148</v>
      </c>
      <c r="D2175" s="28" t="s">
        <v>19</v>
      </c>
      <c r="E2175" s="28" t="s">
        <v>875</v>
      </c>
      <c r="F2175" s="58" t="s">
        <v>0</v>
      </c>
      <c r="G2175" s="35">
        <f>G2176+G2178</f>
        <v>31227</v>
      </c>
      <c r="H2175" s="35">
        <f t="shared" ref="H2175:K2175" si="1025">H2176+H2178</f>
        <v>31226.97</v>
      </c>
      <c r="I2175" s="35">
        <f t="shared" si="1025"/>
        <v>5423.9669999999996</v>
      </c>
      <c r="J2175" s="35">
        <f t="shared" si="1025"/>
        <v>5423.9669999999996</v>
      </c>
      <c r="K2175" s="35">
        <f t="shared" si="1025"/>
        <v>5423.9669999999996</v>
      </c>
      <c r="L2175" s="35">
        <f t="shared" si="1008"/>
        <v>17.369495023052188</v>
      </c>
      <c r="M2175" s="35">
        <f t="shared" si="1010"/>
        <v>100</v>
      </c>
    </row>
    <row r="2176" spans="1:13" ht="25.5">
      <c r="A2176" s="59" t="s">
        <v>64</v>
      </c>
      <c r="B2176" s="28" t="s">
        <v>741</v>
      </c>
      <c r="C2176" s="28" t="s">
        <v>148</v>
      </c>
      <c r="D2176" s="28" t="s">
        <v>19</v>
      </c>
      <c r="E2176" s="28" t="s">
        <v>875</v>
      </c>
      <c r="F2176" s="28" t="s">
        <v>65</v>
      </c>
      <c r="G2176" s="35">
        <f>G2177</f>
        <v>477</v>
      </c>
      <c r="H2176" s="35">
        <f t="shared" ref="H2176:K2176" si="1026">H2177</f>
        <v>476.97</v>
      </c>
      <c r="I2176" s="35">
        <f t="shared" si="1026"/>
        <v>53.966999999999999</v>
      </c>
      <c r="J2176" s="35">
        <f t="shared" si="1026"/>
        <v>53.966999999999999</v>
      </c>
      <c r="K2176" s="35">
        <f t="shared" si="1026"/>
        <v>53.966999999999999</v>
      </c>
      <c r="L2176" s="35">
        <f t="shared" si="1008"/>
        <v>11.314548084785207</v>
      </c>
      <c r="M2176" s="35">
        <f t="shared" si="1010"/>
        <v>100</v>
      </c>
    </row>
    <row r="2177" spans="1:13" ht="25.5">
      <c r="A2177" s="59" t="s">
        <v>66</v>
      </c>
      <c r="B2177" s="28" t="s">
        <v>741</v>
      </c>
      <c r="C2177" s="28" t="s">
        <v>148</v>
      </c>
      <c r="D2177" s="28" t="s">
        <v>19</v>
      </c>
      <c r="E2177" s="28" t="s">
        <v>875</v>
      </c>
      <c r="F2177" s="28" t="s">
        <v>67</v>
      </c>
      <c r="G2177" s="35">
        <v>477</v>
      </c>
      <c r="H2177" s="35">
        <v>476.97</v>
      </c>
      <c r="I2177" s="35">
        <v>53.966999999999999</v>
      </c>
      <c r="J2177" s="35">
        <v>53.966999999999999</v>
      </c>
      <c r="K2177" s="35">
        <v>53.966999999999999</v>
      </c>
      <c r="L2177" s="35">
        <f t="shared" si="1008"/>
        <v>11.314548084785207</v>
      </c>
      <c r="M2177" s="35">
        <f t="shared" si="1010"/>
        <v>100</v>
      </c>
    </row>
    <row r="2178" spans="1:13">
      <c r="A2178" s="59" t="s">
        <v>68</v>
      </c>
      <c r="B2178" s="28" t="s">
        <v>741</v>
      </c>
      <c r="C2178" s="28" t="s">
        <v>148</v>
      </c>
      <c r="D2178" s="28" t="s">
        <v>19</v>
      </c>
      <c r="E2178" s="28" t="s">
        <v>875</v>
      </c>
      <c r="F2178" s="28" t="s">
        <v>69</v>
      </c>
      <c r="G2178" s="35">
        <f>G2179</f>
        <v>30750</v>
      </c>
      <c r="H2178" s="35">
        <f t="shared" ref="H2178:K2178" si="1027">H2179</f>
        <v>30750</v>
      </c>
      <c r="I2178" s="35">
        <f t="shared" si="1027"/>
        <v>5370</v>
      </c>
      <c r="J2178" s="35">
        <f t="shared" si="1027"/>
        <v>5370</v>
      </c>
      <c r="K2178" s="35">
        <f t="shared" si="1027"/>
        <v>5370</v>
      </c>
      <c r="L2178" s="35">
        <f t="shared" si="1008"/>
        <v>17.463414634146339</v>
      </c>
      <c r="M2178" s="35">
        <f t="shared" si="1010"/>
        <v>100</v>
      </c>
    </row>
    <row r="2179" spans="1:13" ht="25.5">
      <c r="A2179" s="59" t="s">
        <v>463</v>
      </c>
      <c r="B2179" s="28" t="s">
        <v>741</v>
      </c>
      <c r="C2179" s="28" t="s">
        <v>148</v>
      </c>
      <c r="D2179" s="28" t="s">
        <v>19</v>
      </c>
      <c r="E2179" s="28" t="s">
        <v>875</v>
      </c>
      <c r="F2179" s="28" t="s">
        <v>464</v>
      </c>
      <c r="G2179" s="35">
        <v>30750</v>
      </c>
      <c r="H2179" s="35">
        <v>30750</v>
      </c>
      <c r="I2179" s="35">
        <v>5370</v>
      </c>
      <c r="J2179" s="35">
        <v>5370</v>
      </c>
      <c r="K2179" s="35">
        <v>5370</v>
      </c>
      <c r="L2179" s="35">
        <f t="shared" si="1008"/>
        <v>17.463414634146339</v>
      </c>
      <c r="M2179" s="35">
        <f t="shared" si="1010"/>
        <v>100</v>
      </c>
    </row>
    <row r="2180" spans="1:13" ht="51">
      <c r="A2180" s="59" t="s">
        <v>876</v>
      </c>
      <c r="B2180" s="28" t="s">
        <v>741</v>
      </c>
      <c r="C2180" s="28" t="s">
        <v>148</v>
      </c>
      <c r="D2180" s="28" t="s">
        <v>19</v>
      </c>
      <c r="E2180" s="28" t="s">
        <v>877</v>
      </c>
      <c r="F2180" s="58" t="s">
        <v>0</v>
      </c>
      <c r="G2180" s="35">
        <f>G2181+G2183</f>
        <v>384989.6</v>
      </c>
      <c r="H2180" s="35">
        <f t="shared" ref="H2180:K2180" si="1028">H2181+H2183</f>
        <v>384989.62</v>
      </c>
      <c r="I2180" s="35">
        <f t="shared" si="1028"/>
        <v>241480.35100000002</v>
      </c>
      <c r="J2180" s="35">
        <f t="shared" si="1028"/>
        <v>241480.35100000002</v>
      </c>
      <c r="K2180" s="35">
        <f t="shared" si="1028"/>
        <v>241476.86859</v>
      </c>
      <c r="L2180" s="35">
        <f t="shared" si="1008"/>
        <v>62.722955644882063</v>
      </c>
      <c r="M2180" s="35">
        <f t="shared" si="1010"/>
        <v>99.99855789094822</v>
      </c>
    </row>
    <row r="2181" spans="1:13" ht="25.5">
      <c r="A2181" s="59" t="s">
        <v>64</v>
      </c>
      <c r="B2181" s="28" t="s">
        <v>741</v>
      </c>
      <c r="C2181" s="28" t="s">
        <v>148</v>
      </c>
      <c r="D2181" s="28" t="s">
        <v>19</v>
      </c>
      <c r="E2181" s="28" t="s">
        <v>877</v>
      </c>
      <c r="F2181" s="28" t="s">
        <v>65</v>
      </c>
      <c r="G2181" s="35">
        <f>G2182</f>
        <v>11718.3</v>
      </c>
      <c r="H2181" s="35">
        <f t="shared" ref="H2181:K2181" si="1029">H2182</f>
        <v>11718.334000000001</v>
      </c>
      <c r="I2181" s="35">
        <f t="shared" si="1029"/>
        <v>6319.5720000000001</v>
      </c>
      <c r="J2181" s="35">
        <f t="shared" si="1029"/>
        <v>6319.5720000000001</v>
      </c>
      <c r="K2181" s="35">
        <f t="shared" si="1029"/>
        <v>6316.0902699999997</v>
      </c>
      <c r="L2181" s="35">
        <f t="shared" si="1008"/>
        <v>53.899216987670762</v>
      </c>
      <c r="M2181" s="35">
        <f t="shared" si="1010"/>
        <v>99.94490560436688</v>
      </c>
    </row>
    <row r="2182" spans="1:13" ht="25.5">
      <c r="A2182" s="59" t="s">
        <v>66</v>
      </c>
      <c r="B2182" s="28" t="s">
        <v>741</v>
      </c>
      <c r="C2182" s="28" t="s">
        <v>148</v>
      </c>
      <c r="D2182" s="28" t="s">
        <v>19</v>
      </c>
      <c r="E2182" s="28" t="s">
        <v>877</v>
      </c>
      <c r="F2182" s="28" t="s">
        <v>67</v>
      </c>
      <c r="G2182" s="35">
        <v>11718.3</v>
      </c>
      <c r="H2182" s="35">
        <v>11718.334000000001</v>
      </c>
      <c r="I2182" s="35">
        <v>6319.5720000000001</v>
      </c>
      <c r="J2182" s="35">
        <v>6319.5720000000001</v>
      </c>
      <c r="K2182" s="35">
        <v>6316.0902699999997</v>
      </c>
      <c r="L2182" s="35">
        <f t="shared" si="1008"/>
        <v>53.899216987670762</v>
      </c>
      <c r="M2182" s="35">
        <f t="shared" si="1010"/>
        <v>99.94490560436688</v>
      </c>
    </row>
    <row r="2183" spans="1:13">
      <c r="A2183" s="59" t="s">
        <v>68</v>
      </c>
      <c r="B2183" s="28" t="s">
        <v>741</v>
      </c>
      <c r="C2183" s="28" t="s">
        <v>148</v>
      </c>
      <c r="D2183" s="28" t="s">
        <v>19</v>
      </c>
      <c r="E2183" s="28" t="s">
        <v>877</v>
      </c>
      <c r="F2183" s="28" t="s">
        <v>69</v>
      </c>
      <c r="G2183" s="35">
        <f>G2184</f>
        <v>373271.3</v>
      </c>
      <c r="H2183" s="35">
        <f t="shared" ref="H2183:K2183" si="1030">H2184</f>
        <v>373271.28600000002</v>
      </c>
      <c r="I2183" s="35">
        <f t="shared" si="1030"/>
        <v>235160.77900000001</v>
      </c>
      <c r="J2183" s="35">
        <f t="shared" si="1030"/>
        <v>235160.77900000001</v>
      </c>
      <c r="K2183" s="35">
        <f t="shared" si="1030"/>
        <v>235160.77832000001</v>
      </c>
      <c r="L2183" s="35">
        <f t="shared" si="1008"/>
        <v>62.999964674486108</v>
      </c>
      <c r="M2183" s="35">
        <f t="shared" si="1010"/>
        <v>99.999999710836136</v>
      </c>
    </row>
    <row r="2184" spans="1:13" ht="25.5">
      <c r="A2184" s="59" t="s">
        <v>463</v>
      </c>
      <c r="B2184" s="28" t="s">
        <v>741</v>
      </c>
      <c r="C2184" s="28" t="s">
        <v>148</v>
      </c>
      <c r="D2184" s="28" t="s">
        <v>19</v>
      </c>
      <c r="E2184" s="28" t="s">
        <v>877</v>
      </c>
      <c r="F2184" s="28" t="s">
        <v>464</v>
      </c>
      <c r="G2184" s="35">
        <v>373271.3</v>
      </c>
      <c r="H2184" s="35">
        <v>373271.28600000002</v>
      </c>
      <c r="I2184" s="35">
        <v>235160.77900000001</v>
      </c>
      <c r="J2184" s="35">
        <v>235160.77900000001</v>
      </c>
      <c r="K2184" s="35">
        <v>235160.77832000001</v>
      </c>
      <c r="L2184" s="35">
        <f t="shared" si="1008"/>
        <v>62.999964674486108</v>
      </c>
      <c r="M2184" s="35">
        <f t="shared" si="1010"/>
        <v>99.999999710836136</v>
      </c>
    </row>
    <row r="2185" spans="1:13">
      <c r="A2185" s="59" t="s">
        <v>477</v>
      </c>
      <c r="B2185" s="28" t="s">
        <v>741</v>
      </c>
      <c r="C2185" s="28" t="s">
        <v>148</v>
      </c>
      <c r="D2185" s="28" t="s">
        <v>32</v>
      </c>
      <c r="E2185" s="58" t="s">
        <v>0</v>
      </c>
      <c r="F2185" s="58" t="s">
        <v>0</v>
      </c>
      <c r="G2185" s="35">
        <f>G2186+G2218</f>
        <v>77716</v>
      </c>
      <c r="H2185" s="35">
        <f>H2186+H2218+H2230</f>
        <v>78838.079999999987</v>
      </c>
      <c r="I2185" s="35">
        <f t="shared" ref="I2185:K2185" si="1031">I2186+I2218+I2230</f>
        <v>47692.115980000002</v>
      </c>
      <c r="J2185" s="35">
        <f t="shared" si="1031"/>
        <v>47692.115980000002</v>
      </c>
      <c r="K2185" s="35">
        <f t="shared" si="1031"/>
        <v>45814.432809999998</v>
      </c>
      <c r="L2185" s="35">
        <f t="shared" si="1008"/>
        <v>58.112060580369295</v>
      </c>
      <c r="M2185" s="35">
        <f t="shared" si="1010"/>
        <v>96.062906559257257</v>
      </c>
    </row>
    <row r="2186" spans="1:13" ht="38.25">
      <c r="A2186" s="59" t="s">
        <v>299</v>
      </c>
      <c r="B2186" s="28" t="s">
        <v>741</v>
      </c>
      <c r="C2186" s="28" t="s">
        <v>148</v>
      </c>
      <c r="D2186" s="28" t="s">
        <v>32</v>
      </c>
      <c r="E2186" s="28" t="s">
        <v>300</v>
      </c>
      <c r="F2186" s="58" t="s">
        <v>0</v>
      </c>
      <c r="G2186" s="35">
        <f>G2187+G2191+G2199+G2207++G2214</f>
        <v>38732.299999999996</v>
      </c>
      <c r="H2186" s="35">
        <f t="shared" ref="H2186:K2186" si="1032">H2187+H2191+H2199+H2207++H2214</f>
        <v>38732.299999999996</v>
      </c>
      <c r="I2186" s="35">
        <f t="shared" si="1032"/>
        <v>28280.115000000002</v>
      </c>
      <c r="J2186" s="35">
        <f t="shared" si="1032"/>
        <v>28280.115000000002</v>
      </c>
      <c r="K2186" s="35">
        <f t="shared" si="1032"/>
        <v>26661.65076</v>
      </c>
      <c r="L2186" s="35">
        <f t="shared" si="1008"/>
        <v>68.835702398256757</v>
      </c>
      <c r="M2186" s="35">
        <f t="shared" si="1010"/>
        <v>94.277023838127946</v>
      </c>
    </row>
    <row r="2187" spans="1:13" ht="38.25">
      <c r="A2187" s="59" t="s">
        <v>770</v>
      </c>
      <c r="B2187" s="28" t="s">
        <v>741</v>
      </c>
      <c r="C2187" s="28" t="s">
        <v>148</v>
      </c>
      <c r="D2187" s="28" t="s">
        <v>32</v>
      </c>
      <c r="E2187" s="28" t="s">
        <v>771</v>
      </c>
      <c r="F2187" s="58" t="s">
        <v>0</v>
      </c>
      <c r="G2187" s="35">
        <f>G2188</f>
        <v>32145.1</v>
      </c>
      <c r="H2187" s="35">
        <f t="shared" ref="H2187:K2189" si="1033">H2188</f>
        <v>32145.1</v>
      </c>
      <c r="I2187" s="35">
        <f t="shared" si="1033"/>
        <v>24108.84</v>
      </c>
      <c r="J2187" s="35">
        <f t="shared" si="1033"/>
        <v>24108.84</v>
      </c>
      <c r="K2187" s="35">
        <f t="shared" si="1033"/>
        <v>22590.418669999999</v>
      </c>
      <c r="L2187" s="35">
        <f t="shared" si="1008"/>
        <v>70.276398797950549</v>
      </c>
      <c r="M2187" s="35">
        <f t="shared" si="1010"/>
        <v>93.701806764655615</v>
      </c>
    </row>
    <row r="2188" spans="1:13" ht="38.25">
      <c r="A2188" s="59" t="s">
        <v>878</v>
      </c>
      <c r="B2188" s="28" t="s">
        <v>741</v>
      </c>
      <c r="C2188" s="28" t="s">
        <v>148</v>
      </c>
      <c r="D2188" s="28" t="s">
        <v>32</v>
      </c>
      <c r="E2188" s="28" t="s">
        <v>879</v>
      </c>
      <c r="F2188" s="58" t="s">
        <v>0</v>
      </c>
      <c r="G2188" s="35">
        <f>G2189</f>
        <v>32145.1</v>
      </c>
      <c r="H2188" s="35">
        <f t="shared" si="1033"/>
        <v>32145.1</v>
      </c>
      <c r="I2188" s="35">
        <f t="shared" si="1033"/>
        <v>24108.84</v>
      </c>
      <c r="J2188" s="35">
        <f t="shared" si="1033"/>
        <v>24108.84</v>
      </c>
      <c r="K2188" s="35">
        <f t="shared" si="1033"/>
        <v>22590.418669999999</v>
      </c>
      <c r="L2188" s="35">
        <f t="shared" si="1008"/>
        <v>70.276398797950549</v>
      </c>
      <c r="M2188" s="35">
        <f t="shared" si="1010"/>
        <v>93.701806764655615</v>
      </c>
    </row>
    <row r="2189" spans="1:13">
      <c r="A2189" s="59" t="s">
        <v>26</v>
      </c>
      <c r="B2189" s="28" t="s">
        <v>741</v>
      </c>
      <c r="C2189" s="28" t="s">
        <v>148</v>
      </c>
      <c r="D2189" s="28" t="s">
        <v>32</v>
      </c>
      <c r="E2189" s="28" t="s">
        <v>879</v>
      </c>
      <c r="F2189" s="28" t="s">
        <v>27</v>
      </c>
      <c r="G2189" s="35">
        <f>G2190</f>
        <v>32145.1</v>
      </c>
      <c r="H2189" s="35">
        <f t="shared" si="1033"/>
        <v>32145.1</v>
      </c>
      <c r="I2189" s="35">
        <f t="shared" si="1033"/>
        <v>24108.84</v>
      </c>
      <c r="J2189" s="35">
        <f t="shared" si="1033"/>
        <v>24108.84</v>
      </c>
      <c r="K2189" s="35">
        <f t="shared" si="1033"/>
        <v>22590.418669999999</v>
      </c>
      <c r="L2189" s="35">
        <f t="shared" si="1008"/>
        <v>70.276398797950549</v>
      </c>
      <c r="M2189" s="35">
        <f t="shared" si="1010"/>
        <v>93.701806764655615</v>
      </c>
    </row>
    <row r="2190" spans="1:13">
      <c r="A2190" s="59" t="s">
        <v>28</v>
      </c>
      <c r="B2190" s="28" t="s">
        <v>741</v>
      </c>
      <c r="C2190" s="28" t="s">
        <v>148</v>
      </c>
      <c r="D2190" s="28" t="s">
        <v>32</v>
      </c>
      <c r="E2190" s="28" t="s">
        <v>879</v>
      </c>
      <c r="F2190" s="28" t="s">
        <v>29</v>
      </c>
      <c r="G2190" s="35">
        <v>32145.1</v>
      </c>
      <c r="H2190" s="35">
        <v>32145.1</v>
      </c>
      <c r="I2190" s="35">
        <v>24108.84</v>
      </c>
      <c r="J2190" s="35">
        <v>24108.84</v>
      </c>
      <c r="K2190" s="35">
        <v>22590.418669999999</v>
      </c>
      <c r="L2190" s="35">
        <f t="shared" si="1008"/>
        <v>70.276398797950549</v>
      </c>
      <c r="M2190" s="35">
        <f t="shared" si="1010"/>
        <v>93.701806764655615</v>
      </c>
    </row>
    <row r="2191" spans="1:13" ht="38.25">
      <c r="A2191" s="59" t="s">
        <v>781</v>
      </c>
      <c r="B2191" s="28" t="s">
        <v>741</v>
      </c>
      <c r="C2191" s="28" t="s">
        <v>148</v>
      </c>
      <c r="D2191" s="28" t="s">
        <v>32</v>
      </c>
      <c r="E2191" s="28" t="s">
        <v>782</v>
      </c>
      <c r="F2191" s="58" t="s">
        <v>0</v>
      </c>
      <c r="G2191" s="35">
        <f>G2192+G2196</f>
        <v>4239.1000000000004</v>
      </c>
      <c r="H2191" s="35">
        <f t="shared" ref="H2191:K2191" si="1034">H2192+H2196</f>
        <v>4239.1000000000004</v>
      </c>
      <c r="I2191" s="35">
        <f t="shared" si="1034"/>
        <v>3052.5749999999998</v>
      </c>
      <c r="J2191" s="35">
        <f t="shared" si="1034"/>
        <v>3052.5749999999998</v>
      </c>
      <c r="K2191" s="35">
        <f t="shared" si="1034"/>
        <v>2952.5749999999998</v>
      </c>
      <c r="L2191" s="35">
        <f t="shared" si="1008"/>
        <v>69.65098723785708</v>
      </c>
      <c r="M2191" s="35">
        <f t="shared" si="1010"/>
        <v>96.724077213500081</v>
      </c>
    </row>
    <row r="2192" spans="1:13" ht="25.5">
      <c r="A2192" s="59" t="s">
        <v>880</v>
      </c>
      <c r="B2192" s="28" t="s">
        <v>741</v>
      </c>
      <c r="C2192" s="28" t="s">
        <v>148</v>
      </c>
      <c r="D2192" s="28" t="s">
        <v>32</v>
      </c>
      <c r="E2192" s="28" t="s">
        <v>881</v>
      </c>
      <c r="F2192" s="58" t="s">
        <v>0</v>
      </c>
      <c r="G2192" s="35">
        <f>G2193</f>
        <v>520</v>
      </c>
      <c r="H2192" s="35">
        <f t="shared" ref="H2192:K2193" si="1035">H2193</f>
        <v>520</v>
      </c>
      <c r="I2192" s="35">
        <f t="shared" si="1035"/>
        <v>370</v>
      </c>
      <c r="J2192" s="35">
        <f t="shared" si="1035"/>
        <v>370</v>
      </c>
      <c r="K2192" s="35">
        <f t="shared" si="1035"/>
        <v>270</v>
      </c>
      <c r="L2192" s="35">
        <f t="shared" si="1008"/>
        <v>51.923076923076927</v>
      </c>
      <c r="M2192" s="35">
        <f t="shared" si="1010"/>
        <v>72.972972972972968</v>
      </c>
    </row>
    <row r="2193" spans="1:13" ht="25.5">
      <c r="A2193" s="59" t="s">
        <v>80</v>
      </c>
      <c r="B2193" s="28" t="s">
        <v>741</v>
      </c>
      <c r="C2193" s="28" t="s">
        <v>148</v>
      </c>
      <c r="D2193" s="28" t="s">
        <v>32</v>
      </c>
      <c r="E2193" s="28" t="s">
        <v>881</v>
      </c>
      <c r="F2193" s="28" t="s">
        <v>81</v>
      </c>
      <c r="G2193" s="35">
        <f>G2194</f>
        <v>520</v>
      </c>
      <c r="H2193" s="35">
        <f>H2194+H2195</f>
        <v>520</v>
      </c>
      <c r="I2193" s="35">
        <f>I2194+I2195</f>
        <v>370</v>
      </c>
      <c r="J2193" s="35">
        <f>J2194+J2195</f>
        <v>370</v>
      </c>
      <c r="K2193" s="35">
        <f t="shared" si="1035"/>
        <v>270</v>
      </c>
      <c r="L2193" s="35">
        <f t="shared" si="1008"/>
        <v>51.923076923076927</v>
      </c>
      <c r="M2193" s="35">
        <f t="shared" si="1010"/>
        <v>72.972972972972968</v>
      </c>
    </row>
    <row r="2194" spans="1:13">
      <c r="A2194" s="59" t="s">
        <v>271</v>
      </c>
      <c r="B2194" s="28" t="s">
        <v>741</v>
      </c>
      <c r="C2194" s="28" t="s">
        <v>148</v>
      </c>
      <c r="D2194" s="28" t="s">
        <v>32</v>
      </c>
      <c r="E2194" s="28" t="s">
        <v>881</v>
      </c>
      <c r="F2194" s="28" t="s">
        <v>272</v>
      </c>
      <c r="G2194" s="35">
        <v>520</v>
      </c>
      <c r="H2194" s="35">
        <v>270</v>
      </c>
      <c r="I2194" s="35">
        <v>270</v>
      </c>
      <c r="J2194" s="35">
        <v>270</v>
      </c>
      <c r="K2194" s="35">
        <v>270</v>
      </c>
      <c r="L2194" s="35">
        <f t="shared" si="1008"/>
        <v>100</v>
      </c>
      <c r="M2194" s="35">
        <f t="shared" si="1010"/>
        <v>100</v>
      </c>
    </row>
    <row r="2195" spans="1:13" s="93" customFormat="1">
      <c r="A2195" s="59" t="s">
        <v>82</v>
      </c>
      <c r="B2195" s="28" t="s">
        <v>741</v>
      </c>
      <c r="C2195" s="28" t="s">
        <v>148</v>
      </c>
      <c r="D2195" s="28" t="s">
        <v>32</v>
      </c>
      <c r="E2195" s="28" t="s">
        <v>881</v>
      </c>
      <c r="F2195" s="28">
        <v>620</v>
      </c>
      <c r="G2195" s="35"/>
      <c r="H2195" s="35">
        <v>250</v>
      </c>
      <c r="I2195" s="35">
        <v>100</v>
      </c>
      <c r="J2195" s="35">
        <v>100</v>
      </c>
      <c r="K2195" s="35">
        <v>0</v>
      </c>
      <c r="L2195" s="35">
        <f t="shared" si="1008"/>
        <v>0</v>
      </c>
      <c r="M2195" s="35">
        <f t="shared" si="1010"/>
        <v>0</v>
      </c>
    </row>
    <row r="2196" spans="1:13" ht="38.25">
      <c r="A2196" s="59" t="s">
        <v>882</v>
      </c>
      <c r="B2196" s="28" t="s">
        <v>741</v>
      </c>
      <c r="C2196" s="28" t="s">
        <v>148</v>
      </c>
      <c r="D2196" s="28" t="s">
        <v>32</v>
      </c>
      <c r="E2196" s="28" t="s">
        <v>883</v>
      </c>
      <c r="F2196" s="58" t="s">
        <v>0</v>
      </c>
      <c r="G2196" s="35">
        <f>G2197</f>
        <v>3719.1</v>
      </c>
      <c r="H2196" s="35">
        <f t="shared" ref="H2196:K2197" si="1036">H2197</f>
        <v>3719.1</v>
      </c>
      <c r="I2196" s="35">
        <f t="shared" si="1036"/>
        <v>2682.5749999999998</v>
      </c>
      <c r="J2196" s="35">
        <f t="shared" si="1036"/>
        <v>2682.5749999999998</v>
      </c>
      <c r="K2196" s="35">
        <f t="shared" si="1036"/>
        <v>2682.5749999999998</v>
      </c>
      <c r="L2196" s="35">
        <f t="shared" si="1008"/>
        <v>72.129681912290593</v>
      </c>
      <c r="M2196" s="35">
        <f t="shared" si="1010"/>
        <v>100</v>
      </c>
    </row>
    <row r="2197" spans="1:13">
      <c r="A2197" s="59" t="s">
        <v>26</v>
      </c>
      <c r="B2197" s="28" t="s">
        <v>741</v>
      </c>
      <c r="C2197" s="28" t="s">
        <v>148</v>
      </c>
      <c r="D2197" s="28" t="s">
        <v>32</v>
      </c>
      <c r="E2197" s="28" t="s">
        <v>883</v>
      </c>
      <c r="F2197" s="28" t="s">
        <v>27</v>
      </c>
      <c r="G2197" s="35">
        <f>G2198</f>
        <v>3719.1</v>
      </c>
      <c r="H2197" s="35">
        <f t="shared" si="1036"/>
        <v>3719.1</v>
      </c>
      <c r="I2197" s="35">
        <f t="shared" si="1036"/>
        <v>2682.5749999999998</v>
      </c>
      <c r="J2197" s="35">
        <f t="shared" si="1036"/>
        <v>2682.5749999999998</v>
      </c>
      <c r="K2197" s="35">
        <f t="shared" si="1036"/>
        <v>2682.5749999999998</v>
      </c>
      <c r="L2197" s="35">
        <f t="shared" si="1008"/>
        <v>72.129681912290593</v>
      </c>
      <c r="M2197" s="35">
        <f t="shared" si="1010"/>
        <v>100</v>
      </c>
    </row>
    <row r="2198" spans="1:13">
      <c r="A2198" s="59" t="s">
        <v>28</v>
      </c>
      <c r="B2198" s="28" t="s">
        <v>741</v>
      </c>
      <c r="C2198" s="28" t="s">
        <v>148</v>
      </c>
      <c r="D2198" s="28" t="s">
        <v>32</v>
      </c>
      <c r="E2198" s="28" t="s">
        <v>883</v>
      </c>
      <c r="F2198" s="28" t="s">
        <v>29</v>
      </c>
      <c r="G2198" s="35">
        <v>3719.1</v>
      </c>
      <c r="H2198" s="35">
        <v>3719.1</v>
      </c>
      <c r="I2198" s="35">
        <v>2682.5749999999998</v>
      </c>
      <c r="J2198" s="35">
        <v>2682.5749999999998</v>
      </c>
      <c r="K2198" s="35">
        <v>2682.5749999999998</v>
      </c>
      <c r="L2198" s="35">
        <f t="shared" si="1008"/>
        <v>72.129681912290593</v>
      </c>
      <c r="M2198" s="35">
        <f t="shared" si="1010"/>
        <v>100</v>
      </c>
    </row>
    <row r="2199" spans="1:13" ht="38.25">
      <c r="A2199" s="59" t="s">
        <v>884</v>
      </c>
      <c r="B2199" s="28" t="s">
        <v>741</v>
      </c>
      <c r="C2199" s="28" t="s">
        <v>148</v>
      </c>
      <c r="D2199" s="28" t="s">
        <v>32</v>
      </c>
      <c r="E2199" s="28" t="s">
        <v>885</v>
      </c>
      <c r="F2199" s="58" t="s">
        <v>0</v>
      </c>
      <c r="G2199" s="35">
        <f>G2200+G2203</f>
        <v>2149.4</v>
      </c>
      <c r="H2199" s="35">
        <f t="shared" ref="H2199:K2199" si="1037">H2200+H2203</f>
        <v>2149.4</v>
      </c>
      <c r="I2199" s="35">
        <f t="shared" si="1037"/>
        <v>920</v>
      </c>
      <c r="J2199" s="35">
        <f t="shared" si="1037"/>
        <v>920</v>
      </c>
      <c r="K2199" s="35">
        <f t="shared" si="1037"/>
        <v>920</v>
      </c>
      <c r="L2199" s="35">
        <f t="shared" si="1008"/>
        <v>42.802642597934302</v>
      </c>
      <c r="M2199" s="35">
        <f t="shared" si="1010"/>
        <v>100</v>
      </c>
    </row>
    <row r="2200" spans="1:13" ht="25.5">
      <c r="A2200" s="59" t="s">
        <v>774</v>
      </c>
      <c r="B2200" s="28" t="s">
        <v>741</v>
      </c>
      <c r="C2200" s="28" t="s">
        <v>148</v>
      </c>
      <c r="D2200" s="28" t="s">
        <v>32</v>
      </c>
      <c r="E2200" s="28" t="s">
        <v>886</v>
      </c>
      <c r="F2200" s="58" t="s">
        <v>0</v>
      </c>
      <c r="G2200" s="35">
        <f>G2201</f>
        <v>150</v>
      </c>
      <c r="H2200" s="35">
        <f t="shared" ref="H2200:K2201" si="1038">H2201</f>
        <v>150</v>
      </c>
      <c r="I2200" s="35">
        <f t="shared" si="1038"/>
        <v>0</v>
      </c>
      <c r="J2200" s="35">
        <f t="shared" si="1038"/>
        <v>0</v>
      </c>
      <c r="K2200" s="35">
        <f t="shared" si="1038"/>
        <v>0</v>
      </c>
      <c r="L2200" s="35">
        <f t="shared" si="1008"/>
        <v>0</v>
      </c>
      <c r="M2200" s="35">
        <v>0</v>
      </c>
    </row>
    <row r="2201" spans="1:13" ht="25.5">
      <c r="A2201" s="59" t="s">
        <v>64</v>
      </c>
      <c r="B2201" s="28" t="s">
        <v>741</v>
      </c>
      <c r="C2201" s="28" t="s">
        <v>148</v>
      </c>
      <c r="D2201" s="28" t="s">
        <v>32</v>
      </c>
      <c r="E2201" s="28" t="s">
        <v>886</v>
      </c>
      <c r="F2201" s="28" t="s">
        <v>65</v>
      </c>
      <c r="G2201" s="35">
        <f>G2202</f>
        <v>150</v>
      </c>
      <c r="H2201" s="35">
        <f t="shared" si="1038"/>
        <v>150</v>
      </c>
      <c r="I2201" s="35">
        <f t="shared" si="1038"/>
        <v>0</v>
      </c>
      <c r="J2201" s="35">
        <f t="shared" si="1038"/>
        <v>0</v>
      </c>
      <c r="K2201" s="35">
        <f t="shared" si="1038"/>
        <v>0</v>
      </c>
      <c r="L2201" s="35">
        <f t="shared" si="1008"/>
        <v>0</v>
      </c>
      <c r="M2201" s="35">
        <v>0</v>
      </c>
    </row>
    <row r="2202" spans="1:13" ht="25.5">
      <c r="A2202" s="59" t="s">
        <v>66</v>
      </c>
      <c r="B2202" s="28" t="s">
        <v>741</v>
      </c>
      <c r="C2202" s="28" t="s">
        <v>148</v>
      </c>
      <c r="D2202" s="28" t="s">
        <v>32</v>
      </c>
      <c r="E2202" s="28" t="s">
        <v>886</v>
      </c>
      <c r="F2202" s="28" t="s">
        <v>67</v>
      </c>
      <c r="G2202" s="35">
        <v>150</v>
      </c>
      <c r="H2202" s="35">
        <v>150</v>
      </c>
      <c r="I2202" s="35">
        <v>0</v>
      </c>
      <c r="J2202" s="35">
        <v>0</v>
      </c>
      <c r="K2202" s="35"/>
      <c r="L2202" s="35">
        <f t="shared" si="1008"/>
        <v>0</v>
      </c>
      <c r="M2202" s="35">
        <v>0</v>
      </c>
    </row>
    <row r="2203" spans="1:13" ht="25.5">
      <c r="A2203" s="59" t="s">
        <v>880</v>
      </c>
      <c r="B2203" s="28" t="s">
        <v>741</v>
      </c>
      <c r="C2203" s="28" t="s">
        <v>148</v>
      </c>
      <c r="D2203" s="28" t="s">
        <v>32</v>
      </c>
      <c r="E2203" s="28" t="s">
        <v>887</v>
      </c>
      <c r="F2203" s="58" t="s">
        <v>0</v>
      </c>
      <c r="G2203" s="35">
        <f>G2204</f>
        <v>1999.4</v>
      </c>
      <c r="H2203" s="35">
        <f t="shared" ref="H2203:K2203" si="1039">H2204</f>
        <v>1999.4</v>
      </c>
      <c r="I2203" s="35">
        <f t="shared" si="1039"/>
        <v>920</v>
      </c>
      <c r="J2203" s="35">
        <f t="shared" si="1039"/>
        <v>920</v>
      </c>
      <c r="K2203" s="35">
        <f t="shared" si="1039"/>
        <v>920</v>
      </c>
      <c r="L2203" s="35">
        <f t="shared" si="1008"/>
        <v>46.013804141242368</v>
      </c>
      <c r="M2203" s="35">
        <f t="shared" si="1010"/>
        <v>100</v>
      </c>
    </row>
    <row r="2204" spans="1:13" ht="25.5">
      <c r="A2204" s="59" t="s">
        <v>80</v>
      </c>
      <c r="B2204" s="28" t="s">
        <v>741</v>
      </c>
      <c r="C2204" s="28" t="s">
        <v>148</v>
      </c>
      <c r="D2204" s="28" t="s">
        <v>32</v>
      </c>
      <c r="E2204" s="28" t="s">
        <v>887</v>
      </c>
      <c r="F2204" s="28" t="s">
        <v>81</v>
      </c>
      <c r="G2204" s="35">
        <f>G2205</f>
        <v>1999.4</v>
      </c>
      <c r="H2204" s="35">
        <f>H2205+H2206</f>
        <v>1999.4</v>
      </c>
      <c r="I2204" s="35">
        <f t="shared" ref="I2204:K2204" si="1040">I2205+I2206</f>
        <v>920</v>
      </c>
      <c r="J2204" s="35">
        <f t="shared" si="1040"/>
        <v>920</v>
      </c>
      <c r="K2204" s="35">
        <f t="shared" si="1040"/>
        <v>920</v>
      </c>
      <c r="L2204" s="35">
        <f t="shared" si="1008"/>
        <v>46.013804141242368</v>
      </c>
      <c r="M2204" s="35">
        <f t="shared" si="1010"/>
        <v>100</v>
      </c>
    </row>
    <row r="2205" spans="1:13">
      <c r="A2205" s="59" t="s">
        <v>271</v>
      </c>
      <c r="B2205" s="28" t="s">
        <v>741</v>
      </c>
      <c r="C2205" s="28" t="s">
        <v>148</v>
      </c>
      <c r="D2205" s="28" t="s">
        <v>32</v>
      </c>
      <c r="E2205" s="28" t="s">
        <v>887</v>
      </c>
      <c r="F2205" s="28" t="s">
        <v>272</v>
      </c>
      <c r="G2205" s="35">
        <v>1999.4</v>
      </c>
      <c r="H2205" s="35">
        <v>920</v>
      </c>
      <c r="I2205" s="35">
        <v>920</v>
      </c>
      <c r="J2205" s="35">
        <v>920</v>
      </c>
      <c r="K2205" s="35">
        <v>920</v>
      </c>
      <c r="L2205" s="35">
        <f t="shared" si="1008"/>
        <v>100</v>
      </c>
      <c r="M2205" s="35">
        <f t="shared" si="1010"/>
        <v>100</v>
      </c>
    </row>
    <row r="2206" spans="1:13" s="92" customFormat="1">
      <c r="A2206" s="59" t="s">
        <v>82</v>
      </c>
      <c r="B2206" s="28" t="s">
        <v>741</v>
      </c>
      <c r="C2206" s="28" t="s">
        <v>148</v>
      </c>
      <c r="D2206" s="28" t="s">
        <v>32</v>
      </c>
      <c r="E2206" s="28" t="s">
        <v>887</v>
      </c>
      <c r="F2206" s="28">
        <v>620</v>
      </c>
      <c r="G2206" s="35"/>
      <c r="H2206" s="35">
        <v>1079.4000000000001</v>
      </c>
      <c r="I2206" s="35">
        <v>0</v>
      </c>
      <c r="J2206" s="35">
        <v>0</v>
      </c>
      <c r="K2206" s="35">
        <v>0</v>
      </c>
      <c r="L2206" s="35">
        <f t="shared" si="1008"/>
        <v>0</v>
      </c>
      <c r="M2206" s="35">
        <v>0</v>
      </c>
    </row>
    <row r="2207" spans="1:13">
      <c r="A2207" s="59" t="s">
        <v>301</v>
      </c>
      <c r="B2207" s="28" t="s">
        <v>741</v>
      </c>
      <c r="C2207" s="28" t="s">
        <v>148</v>
      </c>
      <c r="D2207" s="28" t="s">
        <v>32</v>
      </c>
      <c r="E2207" s="28" t="s">
        <v>302</v>
      </c>
      <c r="F2207" s="58" t="s">
        <v>0</v>
      </c>
      <c r="G2207" s="35">
        <f>G2208</f>
        <v>100</v>
      </c>
      <c r="H2207" s="35">
        <f>H2208+H2211</f>
        <v>100</v>
      </c>
      <c r="I2207" s="35">
        <f t="shared" ref="I2207:K2207" si="1041">I2208+I2211</f>
        <v>100</v>
      </c>
      <c r="J2207" s="35">
        <f t="shared" si="1041"/>
        <v>100</v>
      </c>
      <c r="K2207" s="35">
        <f t="shared" si="1041"/>
        <v>100</v>
      </c>
      <c r="L2207" s="35">
        <f t="shared" si="1008"/>
        <v>100</v>
      </c>
      <c r="M2207" s="35">
        <f t="shared" si="1010"/>
        <v>100</v>
      </c>
    </row>
    <row r="2208" spans="1:13" ht="25.5">
      <c r="A2208" s="59" t="s">
        <v>880</v>
      </c>
      <c r="B2208" s="28" t="s">
        <v>741</v>
      </c>
      <c r="C2208" s="28" t="s">
        <v>148</v>
      </c>
      <c r="D2208" s="28" t="s">
        <v>32</v>
      </c>
      <c r="E2208" s="28" t="s">
        <v>888</v>
      </c>
      <c r="F2208" s="58" t="s">
        <v>0</v>
      </c>
      <c r="G2208" s="35">
        <f>G2209</f>
        <v>100</v>
      </c>
      <c r="H2208" s="35">
        <f t="shared" ref="H2208:K2209" si="1042">H2209</f>
        <v>0</v>
      </c>
      <c r="I2208" s="35">
        <f t="shared" si="1042"/>
        <v>0</v>
      </c>
      <c r="J2208" s="35">
        <f t="shared" si="1042"/>
        <v>0</v>
      </c>
      <c r="K2208" s="35">
        <f t="shared" si="1042"/>
        <v>0</v>
      </c>
      <c r="L2208" s="35">
        <v>0</v>
      </c>
      <c r="M2208" s="35">
        <v>0</v>
      </c>
    </row>
    <row r="2209" spans="1:13" ht="25.5">
      <c r="A2209" s="59" t="s">
        <v>80</v>
      </c>
      <c r="B2209" s="28" t="s">
        <v>741</v>
      </c>
      <c r="C2209" s="28" t="s">
        <v>148</v>
      </c>
      <c r="D2209" s="28" t="s">
        <v>32</v>
      </c>
      <c r="E2209" s="28" t="s">
        <v>888</v>
      </c>
      <c r="F2209" s="28" t="s">
        <v>81</v>
      </c>
      <c r="G2209" s="35">
        <f>G2210</f>
        <v>100</v>
      </c>
      <c r="H2209" s="35">
        <f t="shared" si="1042"/>
        <v>0</v>
      </c>
      <c r="I2209" s="35">
        <f t="shared" si="1042"/>
        <v>0</v>
      </c>
      <c r="J2209" s="35">
        <f t="shared" si="1042"/>
        <v>0</v>
      </c>
      <c r="K2209" s="35">
        <f t="shared" si="1042"/>
        <v>0</v>
      </c>
      <c r="L2209" s="35">
        <v>0</v>
      </c>
      <c r="M2209" s="35">
        <v>0</v>
      </c>
    </row>
    <row r="2210" spans="1:13">
      <c r="A2210" s="59" t="s">
        <v>271</v>
      </c>
      <c r="B2210" s="28" t="s">
        <v>741</v>
      </c>
      <c r="C2210" s="28" t="s">
        <v>148</v>
      </c>
      <c r="D2210" s="28" t="s">
        <v>32</v>
      </c>
      <c r="E2210" s="28" t="s">
        <v>888</v>
      </c>
      <c r="F2210" s="28" t="s">
        <v>272</v>
      </c>
      <c r="G2210" s="35">
        <v>100</v>
      </c>
      <c r="H2210" s="35">
        <v>0</v>
      </c>
      <c r="I2210" s="35">
        <v>0</v>
      </c>
      <c r="J2210" s="35">
        <v>0</v>
      </c>
      <c r="K2210" s="35">
        <v>0</v>
      </c>
      <c r="L2210" s="35">
        <v>0</v>
      </c>
      <c r="M2210" s="35">
        <v>0</v>
      </c>
    </row>
    <row r="2211" spans="1:13" ht="42.75" customHeight="1">
      <c r="A2211" s="59" t="s">
        <v>1116</v>
      </c>
      <c r="B2211" s="28" t="s">
        <v>741</v>
      </c>
      <c r="C2211" s="28" t="s">
        <v>148</v>
      </c>
      <c r="D2211" s="28" t="s">
        <v>32</v>
      </c>
      <c r="E2211" s="29" t="s">
        <v>1115</v>
      </c>
      <c r="F2211" s="28"/>
      <c r="G2211" s="35"/>
      <c r="H2211" s="35">
        <f>H2212</f>
        <v>100</v>
      </c>
      <c r="I2211" s="35">
        <f t="shared" ref="I2211:K2212" si="1043">I2212</f>
        <v>100</v>
      </c>
      <c r="J2211" s="35">
        <f t="shared" si="1043"/>
        <v>100</v>
      </c>
      <c r="K2211" s="35">
        <f t="shared" si="1043"/>
        <v>100</v>
      </c>
      <c r="L2211" s="35">
        <f t="shared" ref="L2211:L2274" si="1044">K2211/H2211*100</f>
        <v>100</v>
      </c>
      <c r="M2211" s="35">
        <f t="shared" ref="M2211:M2274" si="1045">K2211/I2211*100</f>
        <v>100</v>
      </c>
    </row>
    <row r="2212" spans="1:13" ht="25.5">
      <c r="A2212" s="59" t="s">
        <v>80</v>
      </c>
      <c r="B2212" s="28" t="s">
        <v>741</v>
      </c>
      <c r="C2212" s="28" t="s">
        <v>148</v>
      </c>
      <c r="D2212" s="28" t="s">
        <v>32</v>
      </c>
      <c r="E2212" s="29" t="s">
        <v>1115</v>
      </c>
      <c r="F2212" s="28">
        <v>600</v>
      </c>
      <c r="G2212" s="35"/>
      <c r="H2212" s="35">
        <f>H2213</f>
        <v>100</v>
      </c>
      <c r="I2212" s="35">
        <f t="shared" si="1043"/>
        <v>100</v>
      </c>
      <c r="J2212" s="35">
        <f t="shared" si="1043"/>
        <v>100</v>
      </c>
      <c r="K2212" s="35">
        <f t="shared" si="1043"/>
        <v>100</v>
      </c>
      <c r="L2212" s="35">
        <f t="shared" si="1044"/>
        <v>100</v>
      </c>
      <c r="M2212" s="35">
        <f t="shared" si="1045"/>
        <v>100</v>
      </c>
    </row>
    <row r="2213" spans="1:13">
      <c r="A2213" s="59" t="s">
        <v>271</v>
      </c>
      <c r="B2213" s="28" t="s">
        <v>741</v>
      </c>
      <c r="C2213" s="28" t="s">
        <v>148</v>
      </c>
      <c r="D2213" s="28" t="s">
        <v>32</v>
      </c>
      <c r="E2213" s="29" t="s">
        <v>1115</v>
      </c>
      <c r="F2213" s="28">
        <v>610</v>
      </c>
      <c r="G2213" s="35"/>
      <c r="H2213" s="35">
        <v>100</v>
      </c>
      <c r="I2213" s="35">
        <v>100</v>
      </c>
      <c r="J2213" s="35">
        <v>100</v>
      </c>
      <c r="K2213" s="35">
        <v>100</v>
      </c>
      <c r="L2213" s="35">
        <f t="shared" si="1044"/>
        <v>100</v>
      </c>
      <c r="M2213" s="35">
        <f t="shared" si="1045"/>
        <v>100</v>
      </c>
    </row>
    <row r="2214" spans="1:13">
      <c r="A2214" s="59" t="s">
        <v>440</v>
      </c>
      <c r="B2214" s="28" t="s">
        <v>741</v>
      </c>
      <c r="C2214" s="28" t="s">
        <v>148</v>
      </c>
      <c r="D2214" s="28" t="s">
        <v>32</v>
      </c>
      <c r="E2214" s="28" t="s">
        <v>441</v>
      </c>
      <c r="F2214" s="58" t="s">
        <v>0</v>
      </c>
      <c r="G2214" s="35">
        <f>G2215</f>
        <v>98.7</v>
      </c>
      <c r="H2214" s="35">
        <f t="shared" ref="H2214:K2216" si="1046">H2215</f>
        <v>98.7</v>
      </c>
      <c r="I2214" s="35">
        <f t="shared" si="1046"/>
        <v>98.7</v>
      </c>
      <c r="J2214" s="35">
        <f t="shared" si="1046"/>
        <v>98.7</v>
      </c>
      <c r="K2214" s="35">
        <f t="shared" si="1046"/>
        <v>98.657089999999997</v>
      </c>
      <c r="L2214" s="35">
        <f t="shared" si="1044"/>
        <v>99.95652482269503</v>
      </c>
      <c r="M2214" s="35">
        <f t="shared" si="1045"/>
        <v>99.95652482269503</v>
      </c>
    </row>
    <row r="2215" spans="1:13" ht="25.5">
      <c r="A2215" s="59" t="s">
        <v>774</v>
      </c>
      <c r="B2215" s="28" t="s">
        <v>741</v>
      </c>
      <c r="C2215" s="28" t="s">
        <v>148</v>
      </c>
      <c r="D2215" s="28" t="s">
        <v>32</v>
      </c>
      <c r="E2215" s="28" t="s">
        <v>889</v>
      </c>
      <c r="F2215" s="58" t="s">
        <v>0</v>
      </c>
      <c r="G2215" s="35">
        <f>G2216</f>
        <v>98.7</v>
      </c>
      <c r="H2215" s="35">
        <f t="shared" si="1046"/>
        <v>98.7</v>
      </c>
      <c r="I2215" s="35">
        <f t="shared" si="1046"/>
        <v>98.7</v>
      </c>
      <c r="J2215" s="35">
        <f t="shared" si="1046"/>
        <v>98.7</v>
      </c>
      <c r="K2215" s="35">
        <f t="shared" si="1046"/>
        <v>98.657089999999997</v>
      </c>
      <c r="L2215" s="35">
        <f t="shared" si="1044"/>
        <v>99.95652482269503</v>
      </c>
      <c r="M2215" s="35">
        <f t="shared" si="1045"/>
        <v>99.95652482269503</v>
      </c>
    </row>
    <row r="2216" spans="1:13" ht="25.5">
      <c r="A2216" s="59" t="s">
        <v>64</v>
      </c>
      <c r="B2216" s="28" t="s">
        <v>741</v>
      </c>
      <c r="C2216" s="28" t="s">
        <v>148</v>
      </c>
      <c r="D2216" s="28" t="s">
        <v>32</v>
      </c>
      <c r="E2216" s="28" t="s">
        <v>889</v>
      </c>
      <c r="F2216" s="28" t="s">
        <v>65</v>
      </c>
      <c r="G2216" s="35">
        <f>G2217</f>
        <v>98.7</v>
      </c>
      <c r="H2216" s="35">
        <f t="shared" si="1046"/>
        <v>98.7</v>
      </c>
      <c r="I2216" s="35">
        <f t="shared" si="1046"/>
        <v>98.7</v>
      </c>
      <c r="J2216" s="35">
        <f t="shared" si="1046"/>
        <v>98.7</v>
      </c>
      <c r="K2216" s="35">
        <f t="shared" si="1046"/>
        <v>98.657089999999997</v>
      </c>
      <c r="L2216" s="35">
        <f t="shared" si="1044"/>
        <v>99.95652482269503</v>
      </c>
      <c r="M2216" s="35">
        <f t="shared" si="1045"/>
        <v>99.95652482269503</v>
      </c>
    </row>
    <row r="2217" spans="1:13" ht="25.5">
      <c r="A2217" s="59" t="s">
        <v>66</v>
      </c>
      <c r="B2217" s="28" t="s">
        <v>741</v>
      </c>
      <c r="C2217" s="28" t="s">
        <v>148</v>
      </c>
      <c r="D2217" s="28" t="s">
        <v>32</v>
      </c>
      <c r="E2217" s="28" t="s">
        <v>889</v>
      </c>
      <c r="F2217" s="28" t="s">
        <v>67</v>
      </c>
      <c r="G2217" s="35">
        <v>98.7</v>
      </c>
      <c r="H2217" s="35">
        <v>98.7</v>
      </c>
      <c r="I2217" s="35">
        <v>98.7</v>
      </c>
      <c r="J2217" s="35">
        <v>98.7</v>
      </c>
      <c r="K2217" s="35">
        <v>98.657089999999997</v>
      </c>
      <c r="L2217" s="35">
        <f t="shared" si="1044"/>
        <v>99.95652482269503</v>
      </c>
      <c r="M2217" s="35">
        <f t="shared" si="1045"/>
        <v>99.95652482269503</v>
      </c>
    </row>
    <row r="2218" spans="1:13" ht="51">
      <c r="A2218" s="59" t="s">
        <v>742</v>
      </c>
      <c r="B2218" s="28" t="s">
        <v>741</v>
      </c>
      <c r="C2218" s="28" t="s">
        <v>148</v>
      </c>
      <c r="D2218" s="28" t="s">
        <v>32</v>
      </c>
      <c r="E2218" s="28" t="s">
        <v>743</v>
      </c>
      <c r="F2218" s="58" t="s">
        <v>0</v>
      </c>
      <c r="G2218" s="35">
        <f>G2219+G2223</f>
        <v>38983.699999999997</v>
      </c>
      <c r="H2218" s="35">
        <f t="shared" ref="H2218:K2218" si="1047">H2219+H2223</f>
        <v>40095</v>
      </c>
      <c r="I2218" s="35">
        <f t="shared" si="1047"/>
        <v>19401.220979999998</v>
      </c>
      <c r="J2218" s="35">
        <f t="shared" si="1047"/>
        <v>19401.220979999998</v>
      </c>
      <c r="K2218" s="35">
        <f t="shared" si="1047"/>
        <v>19142.002049999999</v>
      </c>
      <c r="L2218" s="35">
        <f t="shared" si="1044"/>
        <v>47.741618780396557</v>
      </c>
      <c r="M2218" s="35">
        <f t="shared" si="1045"/>
        <v>98.663904038476659</v>
      </c>
    </row>
    <row r="2219" spans="1:13" ht="38.25">
      <c r="A2219" s="59" t="s">
        <v>750</v>
      </c>
      <c r="B2219" s="28" t="s">
        <v>741</v>
      </c>
      <c r="C2219" s="28" t="s">
        <v>148</v>
      </c>
      <c r="D2219" s="28" t="s">
        <v>32</v>
      </c>
      <c r="E2219" s="28" t="s">
        <v>751</v>
      </c>
      <c r="F2219" s="58" t="s">
        <v>0</v>
      </c>
      <c r="G2219" s="35">
        <f>G2220</f>
        <v>38925</v>
      </c>
      <c r="H2219" s="35">
        <f t="shared" ref="H2219:K2221" si="1048">H2220</f>
        <v>38925</v>
      </c>
      <c r="I2219" s="35">
        <f t="shared" si="1048"/>
        <v>19401.220979999998</v>
      </c>
      <c r="J2219" s="35">
        <f t="shared" si="1048"/>
        <v>19401.220979999998</v>
      </c>
      <c r="K2219" s="35">
        <f t="shared" si="1048"/>
        <v>19142.002049999999</v>
      </c>
      <c r="L2219" s="35">
        <f t="shared" si="1044"/>
        <v>49.176626974951823</v>
      </c>
      <c r="M2219" s="35">
        <f t="shared" si="1045"/>
        <v>98.663904038476659</v>
      </c>
    </row>
    <row r="2220" spans="1:13" ht="51">
      <c r="A2220" s="59" t="s">
        <v>856</v>
      </c>
      <c r="B2220" s="28" t="s">
        <v>741</v>
      </c>
      <c r="C2220" s="28" t="s">
        <v>148</v>
      </c>
      <c r="D2220" s="28" t="s">
        <v>32</v>
      </c>
      <c r="E2220" s="28" t="s">
        <v>857</v>
      </c>
      <c r="F2220" s="58" t="s">
        <v>0</v>
      </c>
      <c r="G2220" s="35">
        <f>G2221</f>
        <v>38925</v>
      </c>
      <c r="H2220" s="35">
        <f t="shared" si="1048"/>
        <v>38925</v>
      </c>
      <c r="I2220" s="35">
        <f t="shared" si="1048"/>
        <v>19401.220979999998</v>
      </c>
      <c r="J2220" s="35">
        <f t="shared" si="1048"/>
        <v>19401.220979999998</v>
      </c>
      <c r="K2220" s="35">
        <f t="shared" si="1048"/>
        <v>19142.002049999999</v>
      </c>
      <c r="L2220" s="35">
        <f t="shared" si="1044"/>
        <v>49.176626974951823</v>
      </c>
      <c r="M2220" s="35">
        <f t="shared" si="1045"/>
        <v>98.663904038476659</v>
      </c>
    </row>
    <row r="2221" spans="1:13">
      <c r="A2221" s="59" t="s">
        <v>26</v>
      </c>
      <c r="B2221" s="28" t="s">
        <v>741</v>
      </c>
      <c r="C2221" s="28" t="s">
        <v>148</v>
      </c>
      <c r="D2221" s="28" t="s">
        <v>32</v>
      </c>
      <c r="E2221" s="28" t="s">
        <v>857</v>
      </c>
      <c r="F2221" s="28" t="s">
        <v>27</v>
      </c>
      <c r="G2221" s="35">
        <f>G2222</f>
        <v>38925</v>
      </c>
      <c r="H2221" s="35">
        <f t="shared" si="1048"/>
        <v>38925</v>
      </c>
      <c r="I2221" s="35">
        <f t="shared" si="1048"/>
        <v>19401.220979999998</v>
      </c>
      <c r="J2221" s="35">
        <f t="shared" si="1048"/>
        <v>19401.220979999998</v>
      </c>
      <c r="K2221" s="35">
        <f t="shared" si="1048"/>
        <v>19142.002049999999</v>
      </c>
      <c r="L2221" s="35">
        <f t="shared" si="1044"/>
        <v>49.176626974951823</v>
      </c>
      <c r="M2221" s="35">
        <f t="shared" si="1045"/>
        <v>98.663904038476659</v>
      </c>
    </row>
    <row r="2222" spans="1:13" ht="25.5">
      <c r="A2222" s="59" t="s">
        <v>890</v>
      </c>
      <c r="B2222" s="28" t="s">
        <v>741</v>
      </c>
      <c r="C2222" s="28" t="s">
        <v>148</v>
      </c>
      <c r="D2222" s="28" t="s">
        <v>32</v>
      </c>
      <c r="E2222" s="28" t="s">
        <v>857</v>
      </c>
      <c r="F2222" s="28" t="s">
        <v>891</v>
      </c>
      <c r="G2222" s="35">
        <v>38925</v>
      </c>
      <c r="H2222" s="35">
        <v>38925</v>
      </c>
      <c r="I2222" s="35">
        <v>19401.220979999998</v>
      </c>
      <c r="J2222" s="35">
        <v>19401.220979999998</v>
      </c>
      <c r="K2222" s="35">
        <v>19142.002049999999</v>
      </c>
      <c r="L2222" s="35">
        <f t="shared" si="1044"/>
        <v>49.176626974951823</v>
      </c>
      <c r="M2222" s="35">
        <f t="shared" si="1045"/>
        <v>98.663904038476659</v>
      </c>
    </row>
    <row r="2223" spans="1:13" ht="51">
      <c r="A2223" s="59" t="s">
        <v>892</v>
      </c>
      <c r="B2223" s="28" t="s">
        <v>741</v>
      </c>
      <c r="C2223" s="28" t="s">
        <v>148</v>
      </c>
      <c r="D2223" s="28" t="s">
        <v>32</v>
      </c>
      <c r="E2223" s="28" t="s">
        <v>893</v>
      </c>
      <c r="F2223" s="58" t="s">
        <v>0</v>
      </c>
      <c r="G2223" s="35">
        <f>G2227</f>
        <v>58.7</v>
      </c>
      <c r="H2223" s="35">
        <f>H2227+H2224</f>
        <v>1170</v>
      </c>
      <c r="I2223" s="35">
        <f t="shared" ref="I2223:K2223" si="1049">I2227+I2224</f>
        <v>0</v>
      </c>
      <c r="J2223" s="35">
        <f t="shared" si="1049"/>
        <v>0</v>
      </c>
      <c r="K2223" s="35">
        <f t="shared" si="1049"/>
        <v>0</v>
      </c>
      <c r="L2223" s="35">
        <f t="shared" si="1044"/>
        <v>0</v>
      </c>
      <c r="M2223" s="35">
        <v>0</v>
      </c>
    </row>
    <row r="2224" spans="1:13" s="92" customFormat="1" ht="81" customHeight="1">
      <c r="A2224" s="59" t="s">
        <v>1272</v>
      </c>
      <c r="B2224" s="28" t="s">
        <v>741</v>
      </c>
      <c r="C2224" s="28" t="s">
        <v>148</v>
      </c>
      <c r="D2224" s="28" t="s">
        <v>32</v>
      </c>
      <c r="E2224" s="29" t="s">
        <v>1271</v>
      </c>
      <c r="F2224" s="58"/>
      <c r="G2224" s="35"/>
      <c r="H2224" s="35">
        <f>H2225</f>
        <v>1111.3</v>
      </c>
      <c r="I2224" s="35">
        <f t="shared" ref="I2224:K2225" si="1050">I2225</f>
        <v>0</v>
      </c>
      <c r="J2224" s="35">
        <f t="shared" si="1050"/>
        <v>0</v>
      </c>
      <c r="K2224" s="35">
        <f t="shared" si="1050"/>
        <v>0</v>
      </c>
      <c r="L2224" s="35">
        <f t="shared" si="1044"/>
        <v>0</v>
      </c>
      <c r="M2224" s="35">
        <v>0</v>
      </c>
    </row>
    <row r="2225" spans="1:13" s="92" customFormat="1" ht="16.5" customHeight="1">
      <c r="A2225" s="59" t="s">
        <v>68</v>
      </c>
      <c r="B2225" s="28" t="s">
        <v>741</v>
      </c>
      <c r="C2225" s="28" t="s">
        <v>148</v>
      </c>
      <c r="D2225" s="28" t="s">
        <v>32</v>
      </c>
      <c r="E2225" s="29" t="s">
        <v>1271</v>
      </c>
      <c r="F2225" s="28">
        <v>300</v>
      </c>
      <c r="G2225" s="35"/>
      <c r="H2225" s="35">
        <f>H2226</f>
        <v>1111.3</v>
      </c>
      <c r="I2225" s="35">
        <f t="shared" si="1050"/>
        <v>0</v>
      </c>
      <c r="J2225" s="35">
        <f t="shared" si="1050"/>
        <v>0</v>
      </c>
      <c r="K2225" s="35">
        <f t="shared" si="1050"/>
        <v>0</v>
      </c>
      <c r="L2225" s="35">
        <f t="shared" si="1044"/>
        <v>0</v>
      </c>
      <c r="M2225" s="35">
        <v>0</v>
      </c>
    </row>
    <row r="2226" spans="1:13" s="92" customFormat="1">
      <c r="A2226" s="59" t="s">
        <v>70</v>
      </c>
      <c r="B2226" s="28" t="s">
        <v>741</v>
      </c>
      <c r="C2226" s="28" t="s">
        <v>148</v>
      </c>
      <c r="D2226" s="28" t="s">
        <v>32</v>
      </c>
      <c r="E2226" s="29" t="s">
        <v>1271</v>
      </c>
      <c r="F2226" s="28">
        <v>360</v>
      </c>
      <c r="G2226" s="35"/>
      <c r="H2226" s="35">
        <v>1111.3</v>
      </c>
      <c r="I2226" s="35">
        <v>0</v>
      </c>
      <c r="J2226" s="35">
        <v>0</v>
      </c>
      <c r="K2226" s="35">
        <v>0</v>
      </c>
      <c r="L2226" s="35">
        <f t="shared" si="1044"/>
        <v>0</v>
      </c>
      <c r="M2226" s="35">
        <v>0</v>
      </c>
    </row>
    <row r="2227" spans="1:13" ht="76.5">
      <c r="A2227" s="59" t="s">
        <v>894</v>
      </c>
      <c r="B2227" s="28" t="s">
        <v>741</v>
      </c>
      <c r="C2227" s="28" t="s">
        <v>148</v>
      </c>
      <c r="D2227" s="28" t="s">
        <v>32</v>
      </c>
      <c r="E2227" s="28" t="s">
        <v>895</v>
      </c>
      <c r="F2227" s="58" t="s">
        <v>0</v>
      </c>
      <c r="G2227" s="35">
        <f>G2228</f>
        <v>58.7</v>
      </c>
      <c r="H2227" s="35">
        <f t="shared" ref="H2227:K2228" si="1051">H2228</f>
        <v>58.7</v>
      </c>
      <c r="I2227" s="35">
        <f t="shared" si="1051"/>
        <v>0</v>
      </c>
      <c r="J2227" s="35">
        <f t="shared" si="1051"/>
        <v>0</v>
      </c>
      <c r="K2227" s="35">
        <f t="shared" si="1051"/>
        <v>0</v>
      </c>
      <c r="L2227" s="35">
        <f t="shared" si="1044"/>
        <v>0</v>
      </c>
      <c r="M2227" s="35">
        <v>0</v>
      </c>
    </row>
    <row r="2228" spans="1:13">
      <c r="A2228" s="59" t="s">
        <v>68</v>
      </c>
      <c r="B2228" s="28" t="s">
        <v>741</v>
      </c>
      <c r="C2228" s="28" t="s">
        <v>148</v>
      </c>
      <c r="D2228" s="28" t="s">
        <v>32</v>
      </c>
      <c r="E2228" s="28" t="s">
        <v>895</v>
      </c>
      <c r="F2228" s="28" t="s">
        <v>69</v>
      </c>
      <c r="G2228" s="35">
        <f>G2229</f>
        <v>58.7</v>
      </c>
      <c r="H2228" s="35">
        <f t="shared" si="1051"/>
        <v>58.7</v>
      </c>
      <c r="I2228" s="35">
        <f t="shared" si="1051"/>
        <v>0</v>
      </c>
      <c r="J2228" s="35">
        <f t="shared" si="1051"/>
        <v>0</v>
      </c>
      <c r="K2228" s="35">
        <f t="shared" si="1051"/>
        <v>0</v>
      </c>
      <c r="L2228" s="35">
        <f t="shared" si="1044"/>
        <v>0</v>
      </c>
      <c r="M2228" s="35">
        <v>0</v>
      </c>
    </row>
    <row r="2229" spans="1:13">
      <c r="A2229" s="59" t="s">
        <v>70</v>
      </c>
      <c r="B2229" s="28" t="s">
        <v>741</v>
      </c>
      <c r="C2229" s="28" t="s">
        <v>148</v>
      </c>
      <c r="D2229" s="28" t="s">
        <v>32</v>
      </c>
      <c r="E2229" s="28" t="s">
        <v>895</v>
      </c>
      <c r="F2229" s="28" t="s">
        <v>71</v>
      </c>
      <c r="G2229" s="35">
        <v>58.7</v>
      </c>
      <c r="H2229" s="35">
        <v>58.7</v>
      </c>
      <c r="I2229" s="35">
        <v>0</v>
      </c>
      <c r="J2229" s="35">
        <v>0</v>
      </c>
      <c r="K2229" s="35">
        <v>0</v>
      </c>
      <c r="L2229" s="35">
        <f t="shared" si="1044"/>
        <v>0</v>
      </c>
      <c r="M2229" s="35">
        <v>0</v>
      </c>
    </row>
    <row r="2230" spans="1:13">
      <c r="A2230" s="62" t="s">
        <v>612</v>
      </c>
      <c r="B2230" s="28" t="s">
        <v>741</v>
      </c>
      <c r="C2230" s="28" t="s">
        <v>148</v>
      </c>
      <c r="D2230" s="28" t="s">
        <v>32</v>
      </c>
      <c r="E2230" s="29" t="s">
        <v>613</v>
      </c>
      <c r="F2230" s="28"/>
      <c r="G2230" s="35"/>
      <c r="H2230" s="35">
        <f>H2231</f>
        <v>10.78</v>
      </c>
      <c r="I2230" s="35">
        <f t="shared" ref="I2230:K2232" si="1052">I2231</f>
        <v>10.78</v>
      </c>
      <c r="J2230" s="35">
        <f t="shared" si="1052"/>
        <v>10.78</v>
      </c>
      <c r="K2230" s="35">
        <f t="shared" si="1052"/>
        <v>10.78</v>
      </c>
      <c r="L2230" s="35">
        <f t="shared" si="1044"/>
        <v>100</v>
      </c>
      <c r="M2230" s="35">
        <f t="shared" si="1045"/>
        <v>100</v>
      </c>
    </row>
    <row r="2231" spans="1:13">
      <c r="A2231" s="62" t="s">
        <v>612</v>
      </c>
      <c r="B2231" s="28" t="s">
        <v>741</v>
      </c>
      <c r="C2231" s="28" t="s">
        <v>148</v>
      </c>
      <c r="D2231" s="28" t="s">
        <v>32</v>
      </c>
      <c r="E2231" s="29" t="s">
        <v>614</v>
      </c>
      <c r="F2231" s="28"/>
      <c r="G2231" s="35"/>
      <c r="H2231" s="35">
        <f>H2232</f>
        <v>10.78</v>
      </c>
      <c r="I2231" s="35">
        <f t="shared" si="1052"/>
        <v>10.78</v>
      </c>
      <c r="J2231" s="35">
        <f t="shared" si="1052"/>
        <v>10.78</v>
      </c>
      <c r="K2231" s="35">
        <f t="shared" si="1052"/>
        <v>10.78</v>
      </c>
      <c r="L2231" s="35">
        <f t="shared" si="1044"/>
        <v>100</v>
      </c>
      <c r="M2231" s="35">
        <f t="shared" si="1045"/>
        <v>100</v>
      </c>
    </row>
    <row r="2232" spans="1:13" ht="25.5">
      <c r="A2232" s="59" t="s">
        <v>80</v>
      </c>
      <c r="B2232" s="28" t="s">
        <v>741</v>
      </c>
      <c r="C2232" s="28" t="s">
        <v>148</v>
      </c>
      <c r="D2232" s="28" t="s">
        <v>32</v>
      </c>
      <c r="E2232" s="29" t="s">
        <v>614</v>
      </c>
      <c r="F2232" s="28">
        <v>600</v>
      </c>
      <c r="G2232" s="35"/>
      <c r="H2232" s="35">
        <f>H2233</f>
        <v>10.78</v>
      </c>
      <c r="I2232" s="35">
        <f t="shared" si="1052"/>
        <v>10.78</v>
      </c>
      <c r="J2232" s="35">
        <f t="shared" si="1052"/>
        <v>10.78</v>
      </c>
      <c r="K2232" s="35">
        <f t="shared" si="1052"/>
        <v>10.78</v>
      </c>
      <c r="L2232" s="35">
        <f t="shared" si="1044"/>
        <v>100</v>
      </c>
      <c r="M2232" s="35">
        <f t="shared" si="1045"/>
        <v>100</v>
      </c>
    </row>
    <row r="2233" spans="1:13" ht="38.25">
      <c r="A2233" s="59" t="s">
        <v>195</v>
      </c>
      <c r="B2233" s="28" t="s">
        <v>741</v>
      </c>
      <c r="C2233" s="28" t="s">
        <v>148</v>
      </c>
      <c r="D2233" s="28" t="s">
        <v>32</v>
      </c>
      <c r="E2233" s="29" t="s">
        <v>614</v>
      </c>
      <c r="F2233" s="28">
        <v>630</v>
      </c>
      <c r="G2233" s="35"/>
      <c r="H2233" s="35">
        <v>10.78</v>
      </c>
      <c r="I2233" s="35">
        <v>10.78</v>
      </c>
      <c r="J2233" s="35">
        <v>10.78</v>
      </c>
      <c r="K2233" s="35">
        <v>10.78</v>
      </c>
      <c r="L2233" s="35">
        <f t="shared" si="1044"/>
        <v>100</v>
      </c>
      <c r="M2233" s="35">
        <f t="shared" si="1045"/>
        <v>100</v>
      </c>
    </row>
    <row r="2234" spans="1:13">
      <c r="A2234" s="64" t="s">
        <v>0</v>
      </c>
      <c r="B2234" s="65" t="s">
        <v>0</v>
      </c>
      <c r="C2234" s="58" t="s">
        <v>0</v>
      </c>
      <c r="D2234" s="58" t="s">
        <v>0</v>
      </c>
      <c r="E2234" s="58" t="s">
        <v>0</v>
      </c>
      <c r="F2234" s="58" t="s">
        <v>0</v>
      </c>
      <c r="G2234" s="66" t="s">
        <v>0</v>
      </c>
      <c r="H2234" s="66" t="s">
        <v>0</v>
      </c>
      <c r="I2234" s="66" t="s">
        <v>0</v>
      </c>
      <c r="J2234" s="66" t="s">
        <v>0</v>
      </c>
      <c r="K2234" s="66" t="s">
        <v>0</v>
      </c>
      <c r="L2234" s="35"/>
      <c r="M2234" s="35"/>
    </row>
    <row r="2235" spans="1:13" ht="25.5">
      <c r="A2235" s="56" t="s">
        <v>896</v>
      </c>
      <c r="B2235" s="57" t="s">
        <v>897</v>
      </c>
      <c r="C2235" s="58" t="s">
        <v>0</v>
      </c>
      <c r="D2235" s="58" t="s">
        <v>0</v>
      </c>
      <c r="E2235" s="58" t="s">
        <v>0</v>
      </c>
      <c r="F2235" s="58" t="s">
        <v>0</v>
      </c>
      <c r="G2235" s="30">
        <f>G2236</f>
        <v>56450.8</v>
      </c>
      <c r="H2235" s="30">
        <f t="shared" ref="H2235:K2237" si="1053">H2236</f>
        <v>56384.744930000001</v>
      </c>
      <c r="I2235" s="30">
        <f t="shared" si="1053"/>
        <v>43203.744930000001</v>
      </c>
      <c r="J2235" s="30">
        <f t="shared" si="1053"/>
        <v>43203.744930000001</v>
      </c>
      <c r="K2235" s="30">
        <f t="shared" si="1053"/>
        <v>38326.621419999996</v>
      </c>
      <c r="L2235" s="30">
        <f t="shared" si="1044"/>
        <v>67.973387957294776</v>
      </c>
      <c r="M2235" s="30">
        <f t="shared" si="1045"/>
        <v>88.711340838850745</v>
      </c>
    </row>
    <row r="2236" spans="1:13">
      <c r="A2236" s="59" t="s">
        <v>16</v>
      </c>
      <c r="B2236" s="28" t="s">
        <v>897</v>
      </c>
      <c r="C2236" s="28" t="s">
        <v>17</v>
      </c>
      <c r="D2236" s="58" t="s">
        <v>0</v>
      </c>
      <c r="E2236" s="58" t="s">
        <v>0</v>
      </c>
      <c r="F2236" s="58" t="s">
        <v>0</v>
      </c>
      <c r="G2236" s="35">
        <f>G2237</f>
        <v>56450.8</v>
      </c>
      <c r="H2236" s="35">
        <f t="shared" si="1053"/>
        <v>56384.744930000001</v>
      </c>
      <c r="I2236" s="35">
        <f t="shared" si="1053"/>
        <v>43203.744930000001</v>
      </c>
      <c r="J2236" s="35">
        <f t="shared" si="1053"/>
        <v>43203.744930000001</v>
      </c>
      <c r="K2236" s="35">
        <f t="shared" si="1053"/>
        <v>38326.621419999996</v>
      </c>
      <c r="L2236" s="35">
        <f t="shared" si="1044"/>
        <v>67.973387957294776</v>
      </c>
      <c r="M2236" s="35">
        <f t="shared" si="1045"/>
        <v>88.711340838850745</v>
      </c>
    </row>
    <row r="2237" spans="1:13">
      <c r="A2237" s="59" t="s">
        <v>386</v>
      </c>
      <c r="B2237" s="28" t="s">
        <v>897</v>
      </c>
      <c r="C2237" s="28" t="s">
        <v>17</v>
      </c>
      <c r="D2237" s="28" t="s">
        <v>387</v>
      </c>
      <c r="E2237" s="58" t="s">
        <v>0</v>
      </c>
      <c r="F2237" s="58" t="s">
        <v>0</v>
      </c>
      <c r="G2237" s="35">
        <f>G2238</f>
        <v>56450.8</v>
      </c>
      <c r="H2237" s="35">
        <f t="shared" si="1053"/>
        <v>56384.744930000001</v>
      </c>
      <c r="I2237" s="35">
        <f t="shared" si="1053"/>
        <v>43203.744930000001</v>
      </c>
      <c r="J2237" s="35">
        <f t="shared" si="1053"/>
        <v>43203.744930000001</v>
      </c>
      <c r="K2237" s="35">
        <f t="shared" si="1053"/>
        <v>38326.621419999996</v>
      </c>
      <c r="L2237" s="35">
        <f t="shared" si="1044"/>
        <v>67.973387957294776</v>
      </c>
      <c r="M2237" s="35">
        <f t="shared" si="1045"/>
        <v>88.711340838850745</v>
      </c>
    </row>
    <row r="2238" spans="1:13" ht="38.25">
      <c r="A2238" s="59" t="s">
        <v>898</v>
      </c>
      <c r="B2238" s="28" t="s">
        <v>897</v>
      </c>
      <c r="C2238" s="28" t="s">
        <v>17</v>
      </c>
      <c r="D2238" s="28" t="s">
        <v>387</v>
      </c>
      <c r="E2238" s="28" t="s">
        <v>899</v>
      </c>
      <c r="F2238" s="58" t="s">
        <v>0</v>
      </c>
      <c r="G2238" s="35">
        <f>G2239+G2247</f>
        <v>56450.8</v>
      </c>
      <c r="H2238" s="35">
        <f t="shared" ref="H2238:K2238" si="1054">H2239+H2247</f>
        <v>56384.744930000001</v>
      </c>
      <c r="I2238" s="35">
        <f t="shared" si="1054"/>
        <v>43203.744930000001</v>
      </c>
      <c r="J2238" s="35">
        <f t="shared" si="1054"/>
        <v>43203.744930000001</v>
      </c>
      <c r="K2238" s="35">
        <f t="shared" si="1054"/>
        <v>38326.621419999996</v>
      </c>
      <c r="L2238" s="35">
        <f t="shared" si="1044"/>
        <v>67.973387957294776</v>
      </c>
      <c r="M2238" s="35">
        <f t="shared" si="1045"/>
        <v>88.711340838850745</v>
      </c>
    </row>
    <row r="2239" spans="1:13" ht="25.5">
      <c r="A2239" s="59" t="s">
        <v>58</v>
      </c>
      <c r="B2239" s="28" t="s">
        <v>897</v>
      </c>
      <c r="C2239" s="28" t="s">
        <v>17</v>
      </c>
      <c r="D2239" s="28" t="s">
        <v>387</v>
      </c>
      <c r="E2239" s="28" t="s">
        <v>900</v>
      </c>
      <c r="F2239" s="58" t="s">
        <v>0</v>
      </c>
      <c r="G2239" s="35">
        <f>G2240+G2242+G2244</f>
        <v>52558.9</v>
      </c>
      <c r="H2239" s="35">
        <f t="shared" ref="H2239:K2239" si="1055">H2240+H2242+H2244</f>
        <v>52558.9</v>
      </c>
      <c r="I2239" s="35">
        <f t="shared" si="1055"/>
        <v>41827.9</v>
      </c>
      <c r="J2239" s="35">
        <f t="shared" si="1055"/>
        <v>41827.9</v>
      </c>
      <c r="K2239" s="35">
        <f t="shared" si="1055"/>
        <v>37672.119939999997</v>
      </c>
      <c r="L2239" s="35">
        <f t="shared" si="1044"/>
        <v>71.676005281693477</v>
      </c>
      <c r="M2239" s="35">
        <f t="shared" si="1045"/>
        <v>90.064573980524955</v>
      </c>
    </row>
    <row r="2240" spans="1:13" ht="63.75">
      <c r="A2240" s="59" t="s">
        <v>60</v>
      </c>
      <c r="B2240" s="28" t="s">
        <v>897</v>
      </c>
      <c r="C2240" s="28" t="s">
        <v>17</v>
      </c>
      <c r="D2240" s="28" t="s">
        <v>387</v>
      </c>
      <c r="E2240" s="28" t="s">
        <v>900</v>
      </c>
      <c r="F2240" s="28" t="s">
        <v>61</v>
      </c>
      <c r="G2240" s="35">
        <f>G2241</f>
        <v>50186.5</v>
      </c>
      <c r="H2240" s="35">
        <f t="shared" ref="H2240:K2240" si="1056">H2241</f>
        <v>50186.5</v>
      </c>
      <c r="I2240" s="35">
        <f t="shared" si="1056"/>
        <v>39953.9</v>
      </c>
      <c r="J2240" s="35">
        <f t="shared" si="1056"/>
        <v>39953.9</v>
      </c>
      <c r="K2240" s="35">
        <f t="shared" si="1056"/>
        <v>36474.580829999999</v>
      </c>
      <c r="L2240" s="35">
        <f t="shared" si="1044"/>
        <v>72.678072449762382</v>
      </c>
      <c r="M2240" s="35">
        <f t="shared" si="1045"/>
        <v>91.291665719741999</v>
      </c>
    </row>
    <row r="2241" spans="1:13" ht="25.5">
      <c r="A2241" s="59" t="s">
        <v>62</v>
      </c>
      <c r="B2241" s="28" t="s">
        <v>897</v>
      </c>
      <c r="C2241" s="28" t="s">
        <v>17</v>
      </c>
      <c r="D2241" s="28" t="s">
        <v>387</v>
      </c>
      <c r="E2241" s="28" t="s">
        <v>900</v>
      </c>
      <c r="F2241" s="28" t="s">
        <v>63</v>
      </c>
      <c r="G2241" s="35">
        <v>50186.5</v>
      </c>
      <c r="H2241" s="35">
        <f>37816.1+1253.4+11117</f>
        <v>50186.5</v>
      </c>
      <c r="I2241" s="35">
        <f>29106.7+975+9872.2</f>
        <v>39953.9</v>
      </c>
      <c r="J2241" s="35">
        <f>29106.7+975+9872.2</f>
        <v>39953.9</v>
      </c>
      <c r="K2241" s="35">
        <f>26886.41915+975+8613.16168</f>
        <v>36474.580829999999</v>
      </c>
      <c r="L2241" s="35">
        <f t="shared" si="1044"/>
        <v>72.678072449762382</v>
      </c>
      <c r="M2241" s="35">
        <f t="shared" si="1045"/>
        <v>91.291665719741999</v>
      </c>
    </row>
    <row r="2242" spans="1:13" ht="25.5">
      <c r="A2242" s="59" t="s">
        <v>64</v>
      </c>
      <c r="B2242" s="28" t="s">
        <v>897</v>
      </c>
      <c r="C2242" s="28" t="s">
        <v>17</v>
      </c>
      <c r="D2242" s="28" t="s">
        <v>387</v>
      </c>
      <c r="E2242" s="28" t="s">
        <v>900</v>
      </c>
      <c r="F2242" s="28" t="s">
        <v>65</v>
      </c>
      <c r="G2242" s="35">
        <f>G2243</f>
        <v>2228.4</v>
      </c>
      <c r="H2242" s="35">
        <f t="shared" ref="H2242:K2242" si="1057">H2243</f>
        <v>2228.4</v>
      </c>
      <c r="I2242" s="35">
        <f t="shared" si="1057"/>
        <v>1765</v>
      </c>
      <c r="J2242" s="35">
        <f t="shared" si="1057"/>
        <v>1765</v>
      </c>
      <c r="K2242" s="35">
        <f t="shared" si="1057"/>
        <v>1093.7718600000001</v>
      </c>
      <c r="L2242" s="35">
        <f t="shared" si="1044"/>
        <v>49.083282175551965</v>
      </c>
      <c r="M2242" s="35">
        <f t="shared" si="1045"/>
        <v>61.970077053824369</v>
      </c>
    </row>
    <row r="2243" spans="1:13" ht="25.5">
      <c r="A2243" s="59" t="s">
        <v>66</v>
      </c>
      <c r="B2243" s="28" t="s">
        <v>897</v>
      </c>
      <c r="C2243" s="28" t="s">
        <v>17</v>
      </c>
      <c r="D2243" s="28" t="s">
        <v>387</v>
      </c>
      <c r="E2243" s="28" t="s">
        <v>900</v>
      </c>
      <c r="F2243" s="28" t="s">
        <v>67</v>
      </c>
      <c r="G2243" s="35">
        <v>2228.4</v>
      </c>
      <c r="H2243" s="35">
        <v>2228.4</v>
      </c>
      <c r="I2243" s="35">
        <v>1765</v>
      </c>
      <c r="J2243" s="35">
        <v>1765</v>
      </c>
      <c r="K2243" s="35">
        <v>1093.7718600000001</v>
      </c>
      <c r="L2243" s="35">
        <f t="shared" si="1044"/>
        <v>49.083282175551965</v>
      </c>
      <c r="M2243" s="35">
        <f t="shared" si="1045"/>
        <v>61.970077053824369</v>
      </c>
    </row>
    <row r="2244" spans="1:13">
      <c r="A2244" s="59" t="s">
        <v>72</v>
      </c>
      <c r="B2244" s="28" t="s">
        <v>897</v>
      </c>
      <c r="C2244" s="28" t="s">
        <v>17</v>
      </c>
      <c r="D2244" s="28" t="s">
        <v>387</v>
      </c>
      <c r="E2244" s="28" t="s">
        <v>900</v>
      </c>
      <c r="F2244" s="28" t="s">
        <v>73</v>
      </c>
      <c r="G2244" s="35">
        <f>G2245+G2246</f>
        <v>144</v>
      </c>
      <c r="H2244" s="35">
        <f t="shared" ref="H2244:K2244" si="1058">H2245+H2246</f>
        <v>144</v>
      </c>
      <c r="I2244" s="35">
        <f t="shared" si="1058"/>
        <v>109</v>
      </c>
      <c r="J2244" s="35">
        <f t="shared" si="1058"/>
        <v>109</v>
      </c>
      <c r="K2244" s="35">
        <f t="shared" si="1058"/>
        <v>103.76724999999999</v>
      </c>
      <c r="L2244" s="35">
        <f t="shared" si="1044"/>
        <v>72.060590277777763</v>
      </c>
      <c r="M2244" s="35">
        <f t="shared" si="1045"/>
        <v>95.199311926605489</v>
      </c>
    </row>
    <row r="2245" spans="1:13">
      <c r="A2245" s="59" t="s">
        <v>84</v>
      </c>
      <c r="B2245" s="28" t="s">
        <v>897</v>
      </c>
      <c r="C2245" s="28" t="s">
        <v>17</v>
      </c>
      <c r="D2245" s="28" t="s">
        <v>387</v>
      </c>
      <c r="E2245" s="28" t="s">
        <v>900</v>
      </c>
      <c r="F2245" s="28" t="s">
        <v>85</v>
      </c>
      <c r="G2245" s="35">
        <v>140</v>
      </c>
      <c r="H2245" s="35">
        <v>140</v>
      </c>
      <c r="I2245" s="35">
        <v>105</v>
      </c>
      <c r="J2245" s="35">
        <v>105</v>
      </c>
      <c r="K2245" s="35">
        <v>102.69613</v>
      </c>
      <c r="L2245" s="35">
        <f t="shared" si="1044"/>
        <v>73.354378571428569</v>
      </c>
      <c r="M2245" s="35">
        <f t="shared" si="1045"/>
        <v>97.805838095238101</v>
      </c>
    </row>
    <row r="2246" spans="1:13">
      <c r="A2246" s="59" t="s">
        <v>74</v>
      </c>
      <c r="B2246" s="28" t="s">
        <v>897</v>
      </c>
      <c r="C2246" s="28" t="s">
        <v>17</v>
      </c>
      <c r="D2246" s="28" t="s">
        <v>387</v>
      </c>
      <c r="E2246" s="28" t="s">
        <v>900</v>
      </c>
      <c r="F2246" s="28" t="s">
        <v>75</v>
      </c>
      <c r="G2246" s="35">
        <v>4</v>
      </c>
      <c r="H2246" s="35">
        <v>4</v>
      </c>
      <c r="I2246" s="35">
        <v>4</v>
      </c>
      <c r="J2246" s="35">
        <v>4</v>
      </c>
      <c r="K2246" s="35">
        <f>0.786+0.28512</f>
        <v>1.0711200000000001</v>
      </c>
      <c r="L2246" s="35">
        <f t="shared" si="1044"/>
        <v>26.778000000000002</v>
      </c>
      <c r="M2246" s="35">
        <f t="shared" si="1045"/>
        <v>26.778000000000002</v>
      </c>
    </row>
    <row r="2247" spans="1:13">
      <c r="A2247" s="59" t="s">
        <v>609</v>
      </c>
      <c r="B2247" s="28" t="s">
        <v>897</v>
      </c>
      <c r="C2247" s="28" t="s">
        <v>17</v>
      </c>
      <c r="D2247" s="28" t="s">
        <v>387</v>
      </c>
      <c r="E2247" s="28" t="s">
        <v>901</v>
      </c>
      <c r="F2247" s="58" t="s">
        <v>0</v>
      </c>
      <c r="G2247" s="35">
        <f>G2248</f>
        <v>3891.9</v>
      </c>
      <c r="H2247" s="35">
        <f t="shared" ref="H2247:K2248" si="1059">H2248</f>
        <v>3825.8449300000002</v>
      </c>
      <c r="I2247" s="35">
        <f t="shared" si="1059"/>
        <v>1375.84493</v>
      </c>
      <c r="J2247" s="35">
        <f t="shared" si="1059"/>
        <v>1375.84493</v>
      </c>
      <c r="K2247" s="35">
        <f t="shared" si="1059"/>
        <v>654.50148000000002</v>
      </c>
      <c r="L2247" s="35">
        <f t="shared" si="1044"/>
        <v>17.1073708416091</v>
      </c>
      <c r="M2247" s="35">
        <f t="shared" si="1045"/>
        <v>47.570875592789378</v>
      </c>
    </row>
    <row r="2248" spans="1:13" ht="25.5">
      <c r="A2248" s="59" t="s">
        <v>64</v>
      </c>
      <c r="B2248" s="28" t="s">
        <v>897</v>
      </c>
      <c r="C2248" s="28" t="s">
        <v>17</v>
      </c>
      <c r="D2248" s="28" t="s">
        <v>387</v>
      </c>
      <c r="E2248" s="28" t="s">
        <v>901</v>
      </c>
      <c r="F2248" s="28" t="s">
        <v>65</v>
      </c>
      <c r="G2248" s="35">
        <f>G2249</f>
        <v>3891.9</v>
      </c>
      <c r="H2248" s="35">
        <f t="shared" si="1059"/>
        <v>3825.8449300000002</v>
      </c>
      <c r="I2248" s="35">
        <f t="shared" si="1059"/>
        <v>1375.84493</v>
      </c>
      <c r="J2248" s="35">
        <f t="shared" si="1059"/>
        <v>1375.84493</v>
      </c>
      <c r="K2248" s="35">
        <f t="shared" si="1059"/>
        <v>654.50148000000002</v>
      </c>
      <c r="L2248" s="35">
        <f t="shared" si="1044"/>
        <v>17.1073708416091</v>
      </c>
      <c r="M2248" s="35">
        <f t="shared" si="1045"/>
        <v>47.570875592789378</v>
      </c>
    </row>
    <row r="2249" spans="1:13" ht="25.5">
      <c r="A2249" s="59" t="s">
        <v>66</v>
      </c>
      <c r="B2249" s="28" t="s">
        <v>897</v>
      </c>
      <c r="C2249" s="28" t="s">
        <v>17</v>
      </c>
      <c r="D2249" s="28" t="s">
        <v>387</v>
      </c>
      <c r="E2249" s="28" t="s">
        <v>901</v>
      </c>
      <c r="F2249" s="28" t="s">
        <v>67</v>
      </c>
      <c r="G2249" s="35">
        <v>3891.9</v>
      </c>
      <c r="H2249" s="35">
        <v>3825.8449300000002</v>
      </c>
      <c r="I2249" s="35">
        <v>1375.84493</v>
      </c>
      <c r="J2249" s="35">
        <v>1375.84493</v>
      </c>
      <c r="K2249" s="35">
        <v>654.50148000000002</v>
      </c>
      <c r="L2249" s="35">
        <f t="shared" si="1044"/>
        <v>17.1073708416091</v>
      </c>
      <c r="M2249" s="35">
        <f t="shared" si="1045"/>
        <v>47.570875592789378</v>
      </c>
    </row>
    <row r="2250" spans="1:13">
      <c r="A2250" s="64" t="s">
        <v>0</v>
      </c>
      <c r="B2250" s="65" t="s">
        <v>0</v>
      </c>
      <c r="C2250" s="58" t="s">
        <v>0</v>
      </c>
      <c r="D2250" s="58" t="s">
        <v>0</v>
      </c>
      <c r="E2250" s="58" t="s">
        <v>0</v>
      </c>
      <c r="F2250" s="58" t="s">
        <v>0</v>
      </c>
      <c r="G2250" s="66" t="s">
        <v>0</v>
      </c>
      <c r="H2250" s="66" t="s">
        <v>0</v>
      </c>
      <c r="I2250" s="66" t="s">
        <v>0</v>
      </c>
      <c r="J2250" s="66" t="s">
        <v>0</v>
      </c>
      <c r="K2250" s="66" t="s">
        <v>0</v>
      </c>
      <c r="L2250" s="35"/>
      <c r="M2250" s="35"/>
    </row>
    <row r="2251" spans="1:13" ht="51">
      <c r="A2251" s="56" t="s">
        <v>902</v>
      </c>
      <c r="B2251" s="57" t="s">
        <v>903</v>
      </c>
      <c r="C2251" s="58" t="s">
        <v>0</v>
      </c>
      <c r="D2251" s="58" t="s">
        <v>0</v>
      </c>
      <c r="E2251" s="58" t="s">
        <v>0</v>
      </c>
      <c r="F2251" s="58" t="s">
        <v>0</v>
      </c>
      <c r="G2251" s="30">
        <f>G2252+G2317</f>
        <v>1085664.2</v>
      </c>
      <c r="H2251" s="30">
        <f t="shared" ref="H2251:K2251" si="1060">H2252+H2317</f>
        <v>1094941.4442</v>
      </c>
      <c r="I2251" s="30">
        <f t="shared" si="1060"/>
        <v>801865.9185400001</v>
      </c>
      <c r="J2251" s="30">
        <f t="shared" si="1060"/>
        <v>801725.9185400001</v>
      </c>
      <c r="K2251" s="30">
        <f t="shared" si="1060"/>
        <v>797322.72196</v>
      </c>
      <c r="L2251" s="30">
        <f t="shared" si="1044"/>
        <v>72.818754480752162</v>
      </c>
      <c r="M2251" s="30">
        <f t="shared" si="1045"/>
        <v>99.433421913195644</v>
      </c>
    </row>
    <row r="2252" spans="1:13" ht="25.5">
      <c r="A2252" s="59" t="s">
        <v>164</v>
      </c>
      <c r="B2252" s="28" t="s">
        <v>903</v>
      </c>
      <c r="C2252" s="28" t="s">
        <v>150</v>
      </c>
      <c r="D2252" s="58" t="s">
        <v>0</v>
      </c>
      <c r="E2252" s="58" t="s">
        <v>0</v>
      </c>
      <c r="F2252" s="58" t="s">
        <v>0</v>
      </c>
      <c r="G2252" s="35">
        <f>G2253+G2294</f>
        <v>1075340.0999999999</v>
      </c>
      <c r="H2252" s="35">
        <f t="shared" ref="H2252:K2252" si="1061">H2253+H2294</f>
        <v>1084617.3441999999</v>
      </c>
      <c r="I2252" s="35">
        <f t="shared" si="1061"/>
        <v>793918.61854000005</v>
      </c>
      <c r="J2252" s="35">
        <f t="shared" si="1061"/>
        <v>793778.61854000005</v>
      </c>
      <c r="K2252" s="35">
        <f t="shared" si="1061"/>
        <v>789375.42195999995</v>
      </c>
      <c r="L2252" s="35">
        <f t="shared" si="1044"/>
        <v>72.779162732478085</v>
      </c>
      <c r="M2252" s="35">
        <f t="shared" si="1045"/>
        <v>99.427750341923598</v>
      </c>
    </row>
    <row r="2253" spans="1:13" ht="38.25">
      <c r="A2253" s="59" t="s">
        <v>165</v>
      </c>
      <c r="B2253" s="28" t="s">
        <v>903</v>
      </c>
      <c r="C2253" s="28" t="s">
        <v>150</v>
      </c>
      <c r="D2253" s="28" t="s">
        <v>46</v>
      </c>
      <c r="E2253" s="58" t="s">
        <v>0</v>
      </c>
      <c r="F2253" s="58" t="s">
        <v>0</v>
      </c>
      <c r="G2253" s="35">
        <f>G2254</f>
        <v>202630.3</v>
      </c>
      <c r="H2253" s="35">
        <f>H2254+H2290</f>
        <v>208448.95102000001</v>
      </c>
      <c r="I2253" s="35">
        <f t="shared" ref="I2253:K2253" si="1062">I2254+I2290</f>
        <v>144039.64306999999</v>
      </c>
      <c r="J2253" s="35">
        <f t="shared" si="1062"/>
        <v>143899.64306999999</v>
      </c>
      <c r="K2253" s="35">
        <f t="shared" si="1062"/>
        <v>142550.47187999997</v>
      </c>
      <c r="L2253" s="35">
        <f t="shared" si="1044"/>
        <v>68.386274520672785</v>
      </c>
      <c r="M2253" s="35">
        <f t="shared" si="1045"/>
        <v>98.966137961563589</v>
      </c>
    </row>
    <row r="2254" spans="1:13" ht="63.75">
      <c r="A2254" s="59" t="s">
        <v>166</v>
      </c>
      <c r="B2254" s="28" t="s">
        <v>903</v>
      </c>
      <c r="C2254" s="28" t="s">
        <v>150</v>
      </c>
      <c r="D2254" s="28" t="s">
        <v>46</v>
      </c>
      <c r="E2254" s="28" t="s">
        <v>167</v>
      </c>
      <c r="F2254" s="58" t="s">
        <v>0</v>
      </c>
      <c r="G2254" s="35">
        <f>G2255+G2274+G2286</f>
        <v>202630.3</v>
      </c>
      <c r="H2254" s="35">
        <f t="shared" ref="H2254:K2254" si="1063">H2255+H2274+H2286</f>
        <v>202751.75502000001</v>
      </c>
      <c r="I2254" s="35">
        <f t="shared" si="1063"/>
        <v>138342.44706999999</v>
      </c>
      <c r="J2254" s="35">
        <f t="shared" si="1063"/>
        <v>138202.44706999999</v>
      </c>
      <c r="K2254" s="35">
        <f t="shared" si="1063"/>
        <v>136853.27587999997</v>
      </c>
      <c r="L2254" s="35">
        <f t="shared" si="1044"/>
        <v>67.497948842169279</v>
      </c>
      <c r="M2254" s="35">
        <f t="shared" si="1045"/>
        <v>98.92356162440403</v>
      </c>
    </row>
    <row r="2255" spans="1:13" ht="63.75">
      <c r="A2255" s="59" t="s">
        <v>168</v>
      </c>
      <c r="B2255" s="28" t="s">
        <v>903</v>
      </c>
      <c r="C2255" s="28" t="s">
        <v>150</v>
      </c>
      <c r="D2255" s="28" t="s">
        <v>46</v>
      </c>
      <c r="E2255" s="28" t="s">
        <v>169</v>
      </c>
      <c r="F2255" s="58" t="s">
        <v>0</v>
      </c>
      <c r="G2255" s="35">
        <f>G2256+G2267</f>
        <v>170041.4</v>
      </c>
      <c r="H2255" s="35">
        <f t="shared" ref="H2255:K2255" si="1064">H2256+H2267</f>
        <v>170041.42973</v>
      </c>
      <c r="I2255" s="35">
        <f t="shared" si="1064"/>
        <v>124433.2</v>
      </c>
      <c r="J2255" s="35">
        <f t="shared" si="1064"/>
        <v>124293.2</v>
      </c>
      <c r="K2255" s="35">
        <f t="shared" si="1064"/>
        <v>123567.54395999998</v>
      </c>
      <c r="L2255" s="35">
        <f t="shared" si="1044"/>
        <v>72.669080797665899</v>
      </c>
      <c r="M2255" s="35">
        <f t="shared" si="1045"/>
        <v>99.304320679689965</v>
      </c>
    </row>
    <row r="2256" spans="1:13" ht="25.5">
      <c r="A2256" s="59" t="s">
        <v>76</v>
      </c>
      <c r="B2256" s="28" t="s">
        <v>903</v>
      </c>
      <c r="C2256" s="28" t="s">
        <v>150</v>
      </c>
      <c r="D2256" s="28" t="s">
        <v>46</v>
      </c>
      <c r="E2256" s="28" t="s">
        <v>904</v>
      </c>
      <c r="F2256" s="58" t="s">
        <v>0</v>
      </c>
      <c r="G2256" s="35">
        <f>G2257+G2259+G2263+G2265</f>
        <v>156041.4</v>
      </c>
      <c r="H2256" s="35">
        <f>H2257+H2259+H2263+H2265+H2261</f>
        <v>156041.42973</v>
      </c>
      <c r="I2256" s="35">
        <f t="shared" ref="I2256:K2256" si="1065">I2257+I2259+I2263+I2265+I2261</f>
        <v>113449.8</v>
      </c>
      <c r="J2256" s="35">
        <f t="shared" si="1065"/>
        <v>113449.8</v>
      </c>
      <c r="K2256" s="35">
        <f t="shared" si="1065"/>
        <v>112770.36300999999</v>
      </c>
      <c r="L2256" s="35">
        <f t="shared" si="1044"/>
        <v>72.269501250486897</v>
      </c>
      <c r="M2256" s="35">
        <f t="shared" si="1045"/>
        <v>99.401112218796314</v>
      </c>
    </row>
    <row r="2257" spans="1:13" ht="63.75">
      <c r="A2257" s="59" t="s">
        <v>60</v>
      </c>
      <c r="B2257" s="28" t="s">
        <v>903</v>
      </c>
      <c r="C2257" s="28" t="s">
        <v>150</v>
      </c>
      <c r="D2257" s="28" t="s">
        <v>46</v>
      </c>
      <c r="E2257" s="28" t="s">
        <v>904</v>
      </c>
      <c r="F2257" s="28" t="s">
        <v>61</v>
      </c>
      <c r="G2257" s="35">
        <f>G2258</f>
        <v>52438.9</v>
      </c>
      <c r="H2257" s="35">
        <f t="shared" ref="H2257:K2257" si="1066">H2258</f>
        <v>52438.9</v>
      </c>
      <c r="I2257" s="35">
        <f t="shared" si="1066"/>
        <v>39903.599999999999</v>
      </c>
      <c r="J2257" s="35">
        <f t="shared" si="1066"/>
        <v>39903.599999999999</v>
      </c>
      <c r="K2257" s="35">
        <f t="shared" si="1066"/>
        <v>39264.617109999999</v>
      </c>
      <c r="L2257" s="35">
        <f t="shared" si="1044"/>
        <v>74.876889313086266</v>
      </c>
      <c r="M2257" s="35">
        <f t="shared" si="1045"/>
        <v>98.398683602481981</v>
      </c>
    </row>
    <row r="2258" spans="1:13">
      <c r="A2258" s="59" t="s">
        <v>78</v>
      </c>
      <c r="B2258" s="28" t="s">
        <v>903</v>
      </c>
      <c r="C2258" s="28" t="s">
        <v>150</v>
      </c>
      <c r="D2258" s="28" t="s">
        <v>46</v>
      </c>
      <c r="E2258" s="28" t="s">
        <v>904</v>
      </c>
      <c r="F2258" s="28" t="s">
        <v>79</v>
      </c>
      <c r="G2258" s="35">
        <v>52438.9</v>
      </c>
      <c r="H2258" s="35">
        <f>37999.9+2519+11920</f>
        <v>52438.9</v>
      </c>
      <c r="I2258" s="35">
        <f>28500+2372.6+9031</f>
        <v>39903.599999999999</v>
      </c>
      <c r="J2258" s="35">
        <f>28500+2372.6+9031</f>
        <v>39903.599999999999</v>
      </c>
      <c r="K2258" s="35">
        <f>27862.99914+2372.6+9029.01797</f>
        <v>39264.617109999999</v>
      </c>
      <c r="L2258" s="35">
        <f t="shared" si="1044"/>
        <v>74.876889313086266</v>
      </c>
      <c r="M2258" s="35">
        <f t="shared" si="1045"/>
        <v>98.398683602481981</v>
      </c>
    </row>
    <row r="2259" spans="1:13" ht="25.5">
      <c r="A2259" s="59" t="s">
        <v>64</v>
      </c>
      <c r="B2259" s="28" t="s">
        <v>903</v>
      </c>
      <c r="C2259" s="28" t="s">
        <v>150</v>
      </c>
      <c r="D2259" s="28" t="s">
        <v>46</v>
      </c>
      <c r="E2259" s="28" t="s">
        <v>904</v>
      </c>
      <c r="F2259" s="28" t="s">
        <v>65</v>
      </c>
      <c r="G2259" s="35">
        <f>G2260</f>
        <v>23878.7</v>
      </c>
      <c r="H2259" s="35">
        <f t="shared" ref="H2259:K2259" si="1067">H2260</f>
        <v>23756.096730000001</v>
      </c>
      <c r="I2259" s="35">
        <f t="shared" si="1067"/>
        <v>12847.767</v>
      </c>
      <c r="J2259" s="35">
        <f t="shared" si="1067"/>
        <v>12847.767</v>
      </c>
      <c r="K2259" s="35">
        <f t="shared" si="1067"/>
        <v>12839.13097</v>
      </c>
      <c r="L2259" s="35">
        <f t="shared" si="1044"/>
        <v>54.045625070158565</v>
      </c>
      <c r="M2259" s="35">
        <f t="shared" si="1045"/>
        <v>99.932781860069539</v>
      </c>
    </row>
    <row r="2260" spans="1:13" ht="25.5">
      <c r="A2260" s="59" t="s">
        <v>66</v>
      </c>
      <c r="B2260" s="28" t="s">
        <v>903</v>
      </c>
      <c r="C2260" s="28" t="s">
        <v>150</v>
      </c>
      <c r="D2260" s="28" t="s">
        <v>46</v>
      </c>
      <c r="E2260" s="28" t="s">
        <v>904</v>
      </c>
      <c r="F2260" s="28" t="s">
        <v>67</v>
      </c>
      <c r="G2260" s="35">
        <v>23878.7</v>
      </c>
      <c r="H2260" s="35">
        <v>23756.096730000001</v>
      </c>
      <c r="I2260" s="35">
        <v>12847.767</v>
      </c>
      <c r="J2260" s="35">
        <v>12847.767</v>
      </c>
      <c r="K2260" s="35">
        <v>12839.13097</v>
      </c>
      <c r="L2260" s="35">
        <f t="shared" si="1044"/>
        <v>54.045625070158565</v>
      </c>
      <c r="M2260" s="35">
        <f t="shared" si="1045"/>
        <v>99.932781860069539</v>
      </c>
    </row>
    <row r="2261" spans="1:13">
      <c r="A2261" s="59" t="s">
        <v>68</v>
      </c>
      <c r="B2261" s="28" t="s">
        <v>903</v>
      </c>
      <c r="C2261" s="28" t="s">
        <v>150</v>
      </c>
      <c r="D2261" s="28" t="s">
        <v>46</v>
      </c>
      <c r="E2261" s="28" t="s">
        <v>904</v>
      </c>
      <c r="F2261" s="28">
        <v>300</v>
      </c>
      <c r="G2261" s="35"/>
      <c r="H2261" s="35">
        <f>H2262</f>
        <v>122.633</v>
      </c>
      <c r="I2261" s="35">
        <f t="shared" ref="I2261:K2261" si="1068">I2262</f>
        <v>122.633</v>
      </c>
      <c r="J2261" s="35">
        <f t="shared" si="1068"/>
        <v>122.633</v>
      </c>
      <c r="K2261" s="35">
        <f t="shared" si="1068"/>
        <v>122.633</v>
      </c>
      <c r="L2261" s="35">
        <f t="shared" si="1044"/>
        <v>100</v>
      </c>
      <c r="M2261" s="35">
        <f t="shared" si="1045"/>
        <v>100</v>
      </c>
    </row>
    <row r="2262" spans="1:13" ht="25.5">
      <c r="A2262" s="59" t="s">
        <v>151</v>
      </c>
      <c r="B2262" s="28" t="s">
        <v>903</v>
      </c>
      <c r="C2262" s="28" t="s">
        <v>150</v>
      </c>
      <c r="D2262" s="28" t="s">
        <v>46</v>
      </c>
      <c r="E2262" s="28" t="s">
        <v>904</v>
      </c>
      <c r="F2262" s="28">
        <v>320</v>
      </c>
      <c r="G2262" s="35"/>
      <c r="H2262" s="35">
        <v>122.633</v>
      </c>
      <c r="I2262" s="35">
        <v>122.633</v>
      </c>
      <c r="J2262" s="35">
        <v>122.633</v>
      </c>
      <c r="K2262" s="35">
        <v>122.633</v>
      </c>
      <c r="L2262" s="35">
        <f t="shared" si="1044"/>
        <v>100</v>
      </c>
      <c r="M2262" s="35">
        <f t="shared" si="1045"/>
        <v>100</v>
      </c>
    </row>
    <row r="2263" spans="1:13" ht="25.5">
      <c r="A2263" s="59" t="s">
        <v>80</v>
      </c>
      <c r="B2263" s="28" t="s">
        <v>903</v>
      </c>
      <c r="C2263" s="28" t="s">
        <v>150</v>
      </c>
      <c r="D2263" s="28" t="s">
        <v>46</v>
      </c>
      <c r="E2263" s="28" t="s">
        <v>904</v>
      </c>
      <c r="F2263" s="28" t="s">
        <v>81</v>
      </c>
      <c r="G2263" s="35">
        <f>G2264</f>
        <v>78049.5</v>
      </c>
      <c r="H2263" s="35">
        <f t="shared" ref="H2263:K2263" si="1069">H2264</f>
        <v>78049.5</v>
      </c>
      <c r="I2263" s="35">
        <f t="shared" si="1069"/>
        <v>59320</v>
      </c>
      <c r="J2263" s="35">
        <f t="shared" si="1069"/>
        <v>59320</v>
      </c>
      <c r="K2263" s="35">
        <f t="shared" si="1069"/>
        <v>59320</v>
      </c>
      <c r="L2263" s="35">
        <f t="shared" si="1044"/>
        <v>76.00304934688883</v>
      </c>
      <c r="M2263" s="35">
        <f t="shared" si="1045"/>
        <v>100</v>
      </c>
    </row>
    <row r="2264" spans="1:13">
      <c r="A2264" s="59" t="s">
        <v>271</v>
      </c>
      <c r="B2264" s="28" t="s">
        <v>903</v>
      </c>
      <c r="C2264" s="28" t="s">
        <v>150</v>
      </c>
      <c r="D2264" s="28" t="s">
        <v>46</v>
      </c>
      <c r="E2264" s="28" t="s">
        <v>904</v>
      </c>
      <c r="F2264" s="28" t="s">
        <v>272</v>
      </c>
      <c r="G2264" s="35">
        <v>78049.5</v>
      </c>
      <c r="H2264" s="35">
        <f>77729.5+320</f>
        <v>78049.5</v>
      </c>
      <c r="I2264" s="35">
        <f>59000+320</f>
        <v>59320</v>
      </c>
      <c r="J2264" s="35">
        <v>59320</v>
      </c>
      <c r="K2264" s="35">
        <f>59000+320</f>
        <v>59320</v>
      </c>
      <c r="L2264" s="35">
        <f t="shared" si="1044"/>
        <v>76.00304934688883</v>
      </c>
      <c r="M2264" s="35">
        <f t="shared" si="1045"/>
        <v>100</v>
      </c>
    </row>
    <row r="2265" spans="1:13">
      <c r="A2265" s="59" t="s">
        <v>72</v>
      </c>
      <c r="B2265" s="28" t="s">
        <v>903</v>
      </c>
      <c r="C2265" s="28" t="s">
        <v>150</v>
      </c>
      <c r="D2265" s="28" t="s">
        <v>46</v>
      </c>
      <c r="E2265" s="28" t="s">
        <v>904</v>
      </c>
      <c r="F2265" s="28" t="s">
        <v>73</v>
      </c>
      <c r="G2265" s="35">
        <f>G2266</f>
        <v>1674.3</v>
      </c>
      <c r="H2265" s="35">
        <f t="shared" ref="H2265:K2265" si="1070">H2266</f>
        <v>1674.3000000000002</v>
      </c>
      <c r="I2265" s="35">
        <f t="shared" si="1070"/>
        <v>1255.8</v>
      </c>
      <c r="J2265" s="35">
        <f t="shared" si="1070"/>
        <v>1255.8</v>
      </c>
      <c r="K2265" s="35">
        <f t="shared" si="1070"/>
        <v>1223.9819299999999</v>
      </c>
      <c r="L2265" s="35">
        <f t="shared" si="1044"/>
        <v>73.104099026458798</v>
      </c>
      <c r="M2265" s="35">
        <f t="shared" si="1045"/>
        <v>97.466310718267238</v>
      </c>
    </row>
    <row r="2266" spans="1:13">
      <c r="A2266" s="59" t="s">
        <v>74</v>
      </c>
      <c r="B2266" s="28" t="s">
        <v>903</v>
      </c>
      <c r="C2266" s="28" t="s">
        <v>150</v>
      </c>
      <c r="D2266" s="28" t="s">
        <v>46</v>
      </c>
      <c r="E2266" s="28" t="s">
        <v>904</v>
      </c>
      <c r="F2266" s="28" t="s">
        <v>75</v>
      </c>
      <c r="G2266" s="35">
        <v>1674.3</v>
      </c>
      <c r="H2266" s="35">
        <f>1371.4+302.9</f>
        <v>1674.3000000000002</v>
      </c>
      <c r="I2266" s="35">
        <f>1028.6+227.2</f>
        <v>1255.8</v>
      </c>
      <c r="J2266" s="35">
        <f>1028.6+227.2</f>
        <v>1255.8</v>
      </c>
      <c r="K2266" s="35">
        <f>1028.6+195.38193</f>
        <v>1223.9819299999999</v>
      </c>
      <c r="L2266" s="35">
        <f t="shared" si="1044"/>
        <v>73.104099026458798</v>
      </c>
      <c r="M2266" s="35">
        <f t="shared" si="1045"/>
        <v>97.466310718267238</v>
      </c>
    </row>
    <row r="2267" spans="1:13" ht="51">
      <c r="A2267" s="59" t="s">
        <v>905</v>
      </c>
      <c r="B2267" s="28" t="s">
        <v>903</v>
      </c>
      <c r="C2267" s="28" t="s">
        <v>150</v>
      </c>
      <c r="D2267" s="28" t="s">
        <v>46</v>
      </c>
      <c r="E2267" s="28" t="s">
        <v>906</v>
      </c>
      <c r="F2267" s="58" t="s">
        <v>0</v>
      </c>
      <c r="G2267" s="35">
        <f>G2272</f>
        <v>14000</v>
      </c>
      <c r="H2267" s="35">
        <f>H2272+H2268+H2270</f>
        <v>14000</v>
      </c>
      <c r="I2267" s="35">
        <f t="shared" ref="I2267:K2267" si="1071">I2272+I2268+I2270</f>
        <v>10983.4</v>
      </c>
      <c r="J2267" s="35">
        <f t="shared" si="1071"/>
        <v>10843.4</v>
      </c>
      <c r="K2267" s="35">
        <f t="shared" si="1071"/>
        <v>10797.18095</v>
      </c>
      <c r="L2267" s="35">
        <f t="shared" si="1044"/>
        <v>77.122721071428572</v>
      </c>
      <c r="M2267" s="35">
        <f t="shared" si="1045"/>
        <v>98.304540943605815</v>
      </c>
    </row>
    <row r="2268" spans="1:13" ht="63.75">
      <c r="A2268" s="59" t="s">
        <v>60</v>
      </c>
      <c r="B2268" s="28" t="s">
        <v>903</v>
      </c>
      <c r="C2268" s="28" t="s">
        <v>150</v>
      </c>
      <c r="D2268" s="28" t="s">
        <v>46</v>
      </c>
      <c r="E2268" s="28" t="s">
        <v>906</v>
      </c>
      <c r="F2268" s="28">
        <v>100</v>
      </c>
      <c r="G2268" s="35"/>
      <c r="H2268" s="35">
        <f>H2269</f>
        <v>385</v>
      </c>
      <c r="I2268" s="35">
        <f t="shared" ref="I2268:K2268" si="1072">I2269</f>
        <v>385</v>
      </c>
      <c r="J2268" s="35">
        <f t="shared" si="1072"/>
        <v>385</v>
      </c>
      <c r="K2268" s="35">
        <f t="shared" si="1072"/>
        <v>385</v>
      </c>
      <c r="L2268" s="35">
        <f t="shared" si="1044"/>
        <v>100</v>
      </c>
      <c r="M2268" s="35">
        <f t="shared" si="1045"/>
        <v>100</v>
      </c>
    </row>
    <row r="2269" spans="1:13">
      <c r="A2269" s="59" t="s">
        <v>78</v>
      </c>
      <c r="B2269" s="28" t="s">
        <v>903</v>
      </c>
      <c r="C2269" s="28" t="s">
        <v>150</v>
      </c>
      <c r="D2269" s="28" t="s">
        <v>46</v>
      </c>
      <c r="E2269" s="28" t="s">
        <v>906</v>
      </c>
      <c r="F2269" s="28">
        <v>110</v>
      </c>
      <c r="G2269" s="35"/>
      <c r="H2269" s="35">
        <v>385</v>
      </c>
      <c r="I2269" s="35">
        <v>385</v>
      </c>
      <c r="J2269" s="35">
        <v>385</v>
      </c>
      <c r="K2269" s="35">
        <v>385</v>
      </c>
      <c r="L2269" s="35">
        <f t="shared" si="1044"/>
        <v>100</v>
      </c>
      <c r="M2269" s="35">
        <f t="shared" si="1045"/>
        <v>100</v>
      </c>
    </row>
    <row r="2270" spans="1:13" ht="25.5">
      <c r="A2270" s="59" t="s">
        <v>64</v>
      </c>
      <c r="B2270" s="28" t="s">
        <v>903</v>
      </c>
      <c r="C2270" s="28" t="s">
        <v>150</v>
      </c>
      <c r="D2270" s="28" t="s">
        <v>46</v>
      </c>
      <c r="E2270" s="28" t="s">
        <v>906</v>
      </c>
      <c r="F2270" s="28">
        <v>200</v>
      </c>
      <c r="G2270" s="35"/>
      <c r="H2270" s="35">
        <f>H2271</f>
        <v>11758.4</v>
      </c>
      <c r="I2270" s="35">
        <f t="shared" ref="I2270:K2270" si="1073">I2271</f>
        <v>10458.4</v>
      </c>
      <c r="J2270" s="35">
        <f t="shared" si="1073"/>
        <v>10458.4</v>
      </c>
      <c r="K2270" s="35">
        <f t="shared" si="1073"/>
        <v>10412.18095</v>
      </c>
      <c r="L2270" s="35">
        <f t="shared" si="1044"/>
        <v>88.551001411756701</v>
      </c>
      <c r="M2270" s="35">
        <f t="shared" si="1045"/>
        <v>99.55806767765624</v>
      </c>
    </row>
    <row r="2271" spans="1:13" ht="25.5">
      <c r="A2271" s="59" t="s">
        <v>66</v>
      </c>
      <c r="B2271" s="28" t="s">
        <v>903</v>
      </c>
      <c r="C2271" s="28" t="s">
        <v>150</v>
      </c>
      <c r="D2271" s="28" t="s">
        <v>46</v>
      </c>
      <c r="E2271" s="28" t="s">
        <v>906</v>
      </c>
      <c r="F2271" s="28">
        <v>240</v>
      </c>
      <c r="G2271" s="35"/>
      <c r="H2271" s="35">
        <v>11758.4</v>
      </c>
      <c r="I2271" s="35">
        <v>10458.4</v>
      </c>
      <c r="J2271" s="35">
        <v>10458.4</v>
      </c>
      <c r="K2271" s="35">
        <v>10412.18095</v>
      </c>
      <c r="L2271" s="35">
        <f t="shared" si="1044"/>
        <v>88.551001411756701</v>
      </c>
      <c r="M2271" s="35">
        <f t="shared" si="1045"/>
        <v>99.55806767765624</v>
      </c>
    </row>
    <row r="2272" spans="1:13">
      <c r="A2272" s="59" t="s">
        <v>72</v>
      </c>
      <c r="B2272" s="28" t="s">
        <v>903</v>
      </c>
      <c r="C2272" s="28" t="s">
        <v>150</v>
      </c>
      <c r="D2272" s="28" t="s">
        <v>46</v>
      </c>
      <c r="E2272" s="28" t="s">
        <v>906</v>
      </c>
      <c r="F2272" s="28" t="s">
        <v>73</v>
      </c>
      <c r="G2272" s="35">
        <f>G2273</f>
        <v>14000</v>
      </c>
      <c r="H2272" s="35">
        <f t="shared" ref="H2272:K2272" si="1074">H2273</f>
        <v>1856.6</v>
      </c>
      <c r="I2272" s="35">
        <f t="shared" si="1074"/>
        <v>140</v>
      </c>
      <c r="J2272" s="35">
        <f t="shared" si="1074"/>
        <v>0</v>
      </c>
      <c r="K2272" s="35">
        <f t="shared" si="1074"/>
        <v>0</v>
      </c>
      <c r="L2272" s="35">
        <f t="shared" si="1044"/>
        <v>0</v>
      </c>
      <c r="M2272" s="35">
        <f t="shared" si="1045"/>
        <v>0</v>
      </c>
    </row>
    <row r="2273" spans="1:13">
      <c r="A2273" s="59" t="s">
        <v>369</v>
      </c>
      <c r="B2273" s="28" t="s">
        <v>903</v>
      </c>
      <c r="C2273" s="28" t="s">
        <v>150</v>
      </c>
      <c r="D2273" s="28" t="s">
        <v>46</v>
      </c>
      <c r="E2273" s="28" t="s">
        <v>906</v>
      </c>
      <c r="F2273" s="28" t="s">
        <v>370</v>
      </c>
      <c r="G2273" s="35">
        <v>14000</v>
      </c>
      <c r="H2273" s="35">
        <v>1856.6</v>
      </c>
      <c r="I2273" s="35">
        <v>140</v>
      </c>
      <c r="J2273" s="35">
        <v>0</v>
      </c>
      <c r="K2273" s="35">
        <v>0</v>
      </c>
      <c r="L2273" s="35">
        <f t="shared" si="1044"/>
        <v>0</v>
      </c>
      <c r="M2273" s="35">
        <f t="shared" si="1045"/>
        <v>0</v>
      </c>
    </row>
    <row r="2274" spans="1:13" ht="38.25">
      <c r="A2274" s="59" t="s">
        <v>907</v>
      </c>
      <c r="B2274" s="28" t="s">
        <v>903</v>
      </c>
      <c r="C2274" s="28" t="s">
        <v>150</v>
      </c>
      <c r="D2274" s="28" t="s">
        <v>46</v>
      </c>
      <c r="E2274" s="28" t="s">
        <v>908</v>
      </c>
      <c r="F2274" s="58" t="s">
        <v>0</v>
      </c>
      <c r="G2274" s="35">
        <f>G2275+G2283</f>
        <v>15588.9</v>
      </c>
      <c r="H2274" s="35">
        <f t="shared" ref="H2274:K2274" si="1075">H2275+H2283</f>
        <v>15710.325290000001</v>
      </c>
      <c r="I2274" s="35">
        <f t="shared" si="1075"/>
        <v>10969.02529</v>
      </c>
      <c r="J2274" s="35">
        <f t="shared" si="1075"/>
        <v>10969.02529</v>
      </c>
      <c r="K2274" s="35">
        <f t="shared" si="1075"/>
        <v>10765.53774</v>
      </c>
      <c r="L2274" s="35">
        <f t="shared" si="1044"/>
        <v>68.525237646431947</v>
      </c>
      <c r="M2274" s="35">
        <f t="shared" si="1045"/>
        <v>98.144889407944831</v>
      </c>
    </row>
    <row r="2275" spans="1:13" ht="25.5">
      <c r="A2275" s="59" t="s">
        <v>58</v>
      </c>
      <c r="B2275" s="28" t="s">
        <v>903</v>
      </c>
      <c r="C2275" s="28" t="s">
        <v>150</v>
      </c>
      <c r="D2275" s="28" t="s">
        <v>46</v>
      </c>
      <c r="E2275" s="28" t="s">
        <v>909</v>
      </c>
      <c r="F2275" s="58" t="s">
        <v>0</v>
      </c>
      <c r="G2275" s="35">
        <f>G2276+G2278+G2280</f>
        <v>15388.9</v>
      </c>
      <c r="H2275" s="35">
        <f t="shared" ref="H2275:K2275" si="1076">H2276+H2278+H2280</f>
        <v>15510.325290000001</v>
      </c>
      <c r="I2275" s="35">
        <f t="shared" si="1076"/>
        <v>10869.02529</v>
      </c>
      <c r="J2275" s="35">
        <f t="shared" si="1076"/>
        <v>10869.02529</v>
      </c>
      <c r="K2275" s="35">
        <f t="shared" si="1076"/>
        <v>10665.937739999999</v>
      </c>
      <c r="L2275" s="35">
        <f t="shared" ref="L2275:L2338" si="1077">K2275/H2275*100</f>
        <v>68.766692771277121</v>
      </c>
      <c r="M2275" s="35">
        <f t="shared" ref="M2275:M2338" si="1078">K2275/I2275*100</f>
        <v>98.131501725487297</v>
      </c>
    </row>
    <row r="2276" spans="1:13" ht="63.75">
      <c r="A2276" s="59" t="s">
        <v>60</v>
      </c>
      <c r="B2276" s="28" t="s">
        <v>903</v>
      </c>
      <c r="C2276" s="28" t="s">
        <v>150</v>
      </c>
      <c r="D2276" s="28" t="s">
        <v>46</v>
      </c>
      <c r="E2276" s="28" t="s">
        <v>909</v>
      </c>
      <c r="F2276" s="28" t="s">
        <v>61</v>
      </c>
      <c r="G2276" s="35">
        <f>G2277</f>
        <v>13319.9</v>
      </c>
      <c r="H2276" s="35">
        <f t="shared" ref="H2276:K2276" si="1079">H2277</f>
        <v>13319.900000000001</v>
      </c>
      <c r="I2276" s="35">
        <f t="shared" si="1079"/>
        <v>9070</v>
      </c>
      <c r="J2276" s="35">
        <f t="shared" si="1079"/>
        <v>9070</v>
      </c>
      <c r="K2276" s="35">
        <f t="shared" si="1079"/>
        <v>8941.3035500000005</v>
      </c>
      <c r="L2276" s="35">
        <f t="shared" si="1077"/>
        <v>67.127407488044199</v>
      </c>
      <c r="M2276" s="35">
        <f t="shared" si="1078"/>
        <v>98.581075523704527</v>
      </c>
    </row>
    <row r="2277" spans="1:13" ht="25.5">
      <c r="A2277" s="59" t="s">
        <v>62</v>
      </c>
      <c r="B2277" s="28" t="s">
        <v>903</v>
      </c>
      <c r="C2277" s="28" t="s">
        <v>150</v>
      </c>
      <c r="D2277" s="28" t="s">
        <v>46</v>
      </c>
      <c r="E2277" s="28" t="s">
        <v>909</v>
      </c>
      <c r="F2277" s="28" t="s">
        <v>63</v>
      </c>
      <c r="G2277" s="35">
        <v>13319.9</v>
      </c>
      <c r="H2277" s="35">
        <f>9186.7+1386+2747.2</f>
        <v>13319.900000000001</v>
      </c>
      <c r="I2277" s="35">
        <f>6650+550+1870</f>
        <v>9070</v>
      </c>
      <c r="J2277" s="35">
        <f>6650+550+1870</f>
        <v>9070</v>
      </c>
      <c r="K2277" s="35">
        <f>6597.55581+473.74774+1870</f>
        <v>8941.3035500000005</v>
      </c>
      <c r="L2277" s="35">
        <f t="shared" si="1077"/>
        <v>67.127407488044199</v>
      </c>
      <c r="M2277" s="35">
        <f t="shared" si="1078"/>
        <v>98.581075523704527</v>
      </c>
    </row>
    <row r="2278" spans="1:13" ht="25.5">
      <c r="A2278" s="59" t="s">
        <v>64</v>
      </c>
      <c r="B2278" s="28" t="s">
        <v>903</v>
      </c>
      <c r="C2278" s="28" t="s">
        <v>150</v>
      </c>
      <c r="D2278" s="28" t="s">
        <v>46</v>
      </c>
      <c r="E2278" s="28" t="s">
        <v>909</v>
      </c>
      <c r="F2278" s="28" t="s">
        <v>65</v>
      </c>
      <c r="G2278" s="35">
        <f>G2279</f>
        <v>2033.5</v>
      </c>
      <c r="H2278" s="35">
        <f t="shared" ref="H2278:K2278" si="1080">H2279</f>
        <v>2033.5</v>
      </c>
      <c r="I2278" s="35">
        <f t="shared" si="1080"/>
        <v>1650</v>
      </c>
      <c r="J2278" s="35">
        <f t="shared" si="1080"/>
        <v>1650</v>
      </c>
      <c r="K2278" s="35">
        <f t="shared" si="1080"/>
        <v>1575.6088999999999</v>
      </c>
      <c r="L2278" s="35">
        <f t="shared" si="1077"/>
        <v>77.482611261372014</v>
      </c>
      <c r="M2278" s="35">
        <f t="shared" si="1078"/>
        <v>95.49144848484849</v>
      </c>
    </row>
    <row r="2279" spans="1:13" ht="25.5">
      <c r="A2279" s="59" t="s">
        <v>66</v>
      </c>
      <c r="B2279" s="28" t="s">
        <v>903</v>
      </c>
      <c r="C2279" s="28" t="s">
        <v>150</v>
      </c>
      <c r="D2279" s="28" t="s">
        <v>46</v>
      </c>
      <c r="E2279" s="28" t="s">
        <v>909</v>
      </c>
      <c r="F2279" s="28" t="s">
        <v>67</v>
      </c>
      <c r="G2279" s="35">
        <v>2033.5</v>
      </c>
      <c r="H2279" s="35">
        <v>2033.5</v>
      </c>
      <c r="I2279" s="35">
        <v>1650</v>
      </c>
      <c r="J2279" s="35">
        <v>1650</v>
      </c>
      <c r="K2279" s="35">
        <v>1575.6088999999999</v>
      </c>
      <c r="L2279" s="35">
        <f t="shared" si="1077"/>
        <v>77.482611261372014</v>
      </c>
      <c r="M2279" s="35">
        <f t="shared" si="1078"/>
        <v>95.49144848484849</v>
      </c>
    </row>
    <row r="2280" spans="1:13">
      <c r="A2280" s="59" t="s">
        <v>72</v>
      </c>
      <c r="B2280" s="28" t="s">
        <v>903</v>
      </c>
      <c r="C2280" s="28" t="s">
        <v>150</v>
      </c>
      <c r="D2280" s="28" t="s">
        <v>46</v>
      </c>
      <c r="E2280" s="28" t="s">
        <v>909</v>
      </c>
      <c r="F2280" s="28" t="s">
        <v>73</v>
      </c>
      <c r="G2280" s="35">
        <f>G2282</f>
        <v>35.5</v>
      </c>
      <c r="H2280" s="35">
        <f>H2282+H2281</f>
        <v>156.92529000000002</v>
      </c>
      <c r="I2280" s="35">
        <f t="shared" ref="I2280:K2280" si="1081">I2282+I2281</f>
        <v>149.02529000000001</v>
      </c>
      <c r="J2280" s="35">
        <f t="shared" si="1081"/>
        <v>149.02529000000001</v>
      </c>
      <c r="K2280" s="35">
        <f t="shared" si="1081"/>
        <v>149.02529000000001</v>
      </c>
      <c r="L2280" s="35">
        <f t="shared" si="1077"/>
        <v>94.965757272138859</v>
      </c>
      <c r="M2280" s="35">
        <f t="shared" si="1078"/>
        <v>100</v>
      </c>
    </row>
    <row r="2281" spans="1:13">
      <c r="A2281" s="59" t="s">
        <v>84</v>
      </c>
      <c r="B2281" s="28" t="s">
        <v>903</v>
      </c>
      <c r="C2281" s="28" t="s">
        <v>150</v>
      </c>
      <c r="D2281" s="28" t="s">
        <v>46</v>
      </c>
      <c r="E2281" s="28" t="s">
        <v>909</v>
      </c>
      <c r="F2281" s="28">
        <v>830</v>
      </c>
      <c r="G2281" s="35"/>
      <c r="H2281" s="35">
        <v>121.42529</v>
      </c>
      <c r="I2281" s="35">
        <v>121.42529</v>
      </c>
      <c r="J2281" s="35">
        <v>121.42529</v>
      </c>
      <c r="K2281" s="35">
        <v>121.42529</v>
      </c>
      <c r="L2281" s="35">
        <f t="shared" si="1077"/>
        <v>100</v>
      </c>
      <c r="M2281" s="35">
        <f t="shared" si="1078"/>
        <v>100</v>
      </c>
    </row>
    <row r="2282" spans="1:13">
      <c r="A2282" s="59" t="s">
        <v>74</v>
      </c>
      <c r="B2282" s="28" t="s">
        <v>903</v>
      </c>
      <c r="C2282" s="28" t="s">
        <v>150</v>
      </c>
      <c r="D2282" s="28" t="s">
        <v>46</v>
      </c>
      <c r="E2282" s="28" t="s">
        <v>909</v>
      </c>
      <c r="F2282" s="28" t="s">
        <v>75</v>
      </c>
      <c r="G2282" s="35">
        <v>35.5</v>
      </c>
      <c r="H2282" s="35">
        <v>35.5</v>
      </c>
      <c r="I2282" s="35">
        <v>27.6</v>
      </c>
      <c r="J2282" s="35">
        <v>27.6</v>
      </c>
      <c r="K2282" s="35">
        <v>27.6</v>
      </c>
      <c r="L2282" s="35">
        <f t="shared" si="1077"/>
        <v>77.74647887323944</v>
      </c>
      <c r="M2282" s="35">
        <f t="shared" si="1078"/>
        <v>100</v>
      </c>
    </row>
    <row r="2283" spans="1:13" s="88" customFormat="1" ht="18.75" customHeight="1">
      <c r="A2283" s="59" t="s">
        <v>609</v>
      </c>
      <c r="B2283" s="28" t="s">
        <v>903</v>
      </c>
      <c r="C2283" s="28" t="s">
        <v>150</v>
      </c>
      <c r="D2283" s="28" t="s">
        <v>46</v>
      </c>
      <c r="E2283" s="29" t="s">
        <v>1250</v>
      </c>
      <c r="F2283" s="28"/>
      <c r="G2283" s="35">
        <f>G2284</f>
        <v>200</v>
      </c>
      <c r="H2283" s="35">
        <f t="shared" ref="H2283:K2284" si="1082">H2284</f>
        <v>200</v>
      </c>
      <c r="I2283" s="35">
        <f t="shared" si="1082"/>
        <v>100</v>
      </c>
      <c r="J2283" s="35">
        <f t="shared" si="1082"/>
        <v>100</v>
      </c>
      <c r="K2283" s="35">
        <f t="shared" si="1082"/>
        <v>99.6</v>
      </c>
      <c r="L2283" s="35">
        <f t="shared" si="1077"/>
        <v>49.8</v>
      </c>
      <c r="M2283" s="35">
        <f t="shared" si="1078"/>
        <v>99.6</v>
      </c>
    </row>
    <row r="2284" spans="1:13" s="88" customFormat="1" ht="25.5">
      <c r="A2284" s="59" t="s">
        <v>64</v>
      </c>
      <c r="B2284" s="28" t="s">
        <v>903</v>
      </c>
      <c r="C2284" s="28" t="s">
        <v>150</v>
      </c>
      <c r="D2284" s="28" t="s">
        <v>46</v>
      </c>
      <c r="E2284" s="29" t="s">
        <v>1250</v>
      </c>
      <c r="F2284" s="28">
        <v>200</v>
      </c>
      <c r="G2284" s="35">
        <f>G2285</f>
        <v>200</v>
      </c>
      <c r="H2284" s="35">
        <f t="shared" si="1082"/>
        <v>200</v>
      </c>
      <c r="I2284" s="35">
        <f t="shared" si="1082"/>
        <v>100</v>
      </c>
      <c r="J2284" s="35">
        <f t="shared" si="1082"/>
        <v>100</v>
      </c>
      <c r="K2284" s="35">
        <f t="shared" si="1082"/>
        <v>99.6</v>
      </c>
      <c r="L2284" s="35">
        <f t="shared" si="1077"/>
        <v>49.8</v>
      </c>
      <c r="M2284" s="35">
        <f t="shared" si="1078"/>
        <v>99.6</v>
      </c>
    </row>
    <row r="2285" spans="1:13" s="88" customFormat="1" ht="25.5">
      <c r="A2285" s="59" t="s">
        <v>66</v>
      </c>
      <c r="B2285" s="28" t="s">
        <v>903</v>
      </c>
      <c r="C2285" s="28" t="s">
        <v>150</v>
      </c>
      <c r="D2285" s="28" t="s">
        <v>46</v>
      </c>
      <c r="E2285" s="29" t="s">
        <v>1250</v>
      </c>
      <c r="F2285" s="28">
        <v>240</v>
      </c>
      <c r="G2285" s="35">
        <v>200</v>
      </c>
      <c r="H2285" s="35">
        <v>200</v>
      </c>
      <c r="I2285" s="35">
        <v>100</v>
      </c>
      <c r="J2285" s="35">
        <v>100</v>
      </c>
      <c r="K2285" s="35">
        <v>99.6</v>
      </c>
      <c r="L2285" s="35">
        <f t="shared" si="1077"/>
        <v>49.8</v>
      </c>
      <c r="M2285" s="35">
        <f t="shared" si="1078"/>
        <v>99.6</v>
      </c>
    </row>
    <row r="2286" spans="1:13" ht="38.25">
      <c r="A2286" s="59" t="s">
        <v>910</v>
      </c>
      <c r="B2286" s="28" t="s">
        <v>903</v>
      </c>
      <c r="C2286" s="28" t="s">
        <v>150</v>
      </c>
      <c r="D2286" s="28" t="s">
        <v>46</v>
      </c>
      <c r="E2286" s="28" t="s">
        <v>911</v>
      </c>
      <c r="F2286" s="58" t="s">
        <v>0</v>
      </c>
      <c r="G2286" s="35">
        <f>G2287</f>
        <v>17000</v>
      </c>
      <c r="H2286" s="35">
        <f t="shared" ref="H2286:K2288" si="1083">H2287</f>
        <v>17000</v>
      </c>
      <c r="I2286" s="35">
        <f t="shared" si="1083"/>
        <v>2940.2217799999999</v>
      </c>
      <c r="J2286" s="35">
        <f t="shared" si="1083"/>
        <v>2940.2217799999999</v>
      </c>
      <c r="K2286" s="35">
        <f t="shared" si="1083"/>
        <v>2520.19418</v>
      </c>
      <c r="L2286" s="35">
        <f t="shared" si="1077"/>
        <v>14.824671647058823</v>
      </c>
      <c r="M2286" s="35">
        <f t="shared" si="1078"/>
        <v>85.714424576502523</v>
      </c>
    </row>
    <row r="2287" spans="1:13" ht="38.25">
      <c r="A2287" s="59" t="s">
        <v>912</v>
      </c>
      <c r="B2287" s="28" t="s">
        <v>903</v>
      </c>
      <c r="C2287" s="28" t="s">
        <v>150</v>
      </c>
      <c r="D2287" s="28" t="s">
        <v>46</v>
      </c>
      <c r="E2287" s="28" t="s">
        <v>913</v>
      </c>
      <c r="F2287" s="58" t="s">
        <v>0</v>
      </c>
      <c r="G2287" s="35">
        <f>G2288</f>
        <v>17000</v>
      </c>
      <c r="H2287" s="35">
        <f t="shared" si="1083"/>
        <v>17000</v>
      </c>
      <c r="I2287" s="35">
        <f t="shared" si="1083"/>
        <v>2940.2217799999999</v>
      </c>
      <c r="J2287" s="35">
        <f t="shared" si="1083"/>
        <v>2940.2217799999999</v>
      </c>
      <c r="K2287" s="35">
        <f t="shared" si="1083"/>
        <v>2520.19418</v>
      </c>
      <c r="L2287" s="35">
        <f t="shared" si="1077"/>
        <v>14.824671647058823</v>
      </c>
      <c r="M2287" s="35">
        <f t="shared" si="1078"/>
        <v>85.714424576502523</v>
      </c>
    </row>
    <row r="2288" spans="1:13" ht="25.5">
      <c r="A2288" s="59" t="s">
        <v>64</v>
      </c>
      <c r="B2288" s="28" t="s">
        <v>903</v>
      </c>
      <c r="C2288" s="28" t="s">
        <v>150</v>
      </c>
      <c r="D2288" s="28" t="s">
        <v>46</v>
      </c>
      <c r="E2288" s="28" t="s">
        <v>913</v>
      </c>
      <c r="F2288" s="28" t="s">
        <v>65</v>
      </c>
      <c r="G2288" s="35">
        <f>G2289</f>
        <v>17000</v>
      </c>
      <c r="H2288" s="35">
        <f t="shared" si="1083"/>
        <v>17000</v>
      </c>
      <c r="I2288" s="35">
        <f t="shared" si="1083"/>
        <v>2940.2217799999999</v>
      </c>
      <c r="J2288" s="35">
        <f t="shared" si="1083"/>
        <v>2940.2217799999999</v>
      </c>
      <c r="K2288" s="35">
        <f t="shared" si="1083"/>
        <v>2520.19418</v>
      </c>
      <c r="L2288" s="35">
        <f t="shared" si="1077"/>
        <v>14.824671647058823</v>
      </c>
      <c r="M2288" s="35">
        <f t="shared" si="1078"/>
        <v>85.714424576502523</v>
      </c>
    </row>
    <row r="2289" spans="1:13" ht="25.5">
      <c r="A2289" s="59" t="s">
        <v>66</v>
      </c>
      <c r="B2289" s="28" t="s">
        <v>903</v>
      </c>
      <c r="C2289" s="28" t="s">
        <v>150</v>
      </c>
      <c r="D2289" s="28" t="s">
        <v>46</v>
      </c>
      <c r="E2289" s="28" t="s">
        <v>913</v>
      </c>
      <c r="F2289" s="28" t="s">
        <v>67</v>
      </c>
      <c r="G2289" s="35">
        <v>17000</v>
      </c>
      <c r="H2289" s="35">
        <v>17000</v>
      </c>
      <c r="I2289" s="35">
        <v>2940.2217799999999</v>
      </c>
      <c r="J2289" s="35">
        <v>2940.2217799999999</v>
      </c>
      <c r="K2289" s="35">
        <v>2520.19418</v>
      </c>
      <c r="L2289" s="35">
        <f t="shared" si="1077"/>
        <v>14.824671647058823</v>
      </c>
      <c r="M2289" s="35">
        <f t="shared" si="1078"/>
        <v>85.714424576502523</v>
      </c>
    </row>
    <row r="2290" spans="1:13">
      <c r="A2290" s="62" t="s">
        <v>612</v>
      </c>
      <c r="B2290" s="28" t="s">
        <v>903</v>
      </c>
      <c r="C2290" s="28" t="s">
        <v>150</v>
      </c>
      <c r="D2290" s="28" t="s">
        <v>46</v>
      </c>
      <c r="E2290" s="29" t="s">
        <v>613</v>
      </c>
      <c r="F2290" s="28"/>
      <c r="G2290" s="35"/>
      <c r="H2290" s="35">
        <f>H2291</f>
        <v>5697.1959999999999</v>
      </c>
      <c r="I2290" s="35">
        <f t="shared" ref="I2290:K2292" si="1084">I2291</f>
        <v>5697.1959999999999</v>
      </c>
      <c r="J2290" s="35">
        <f t="shared" si="1084"/>
        <v>5697.1959999999999</v>
      </c>
      <c r="K2290" s="35">
        <f t="shared" si="1084"/>
        <v>5697.1959999999999</v>
      </c>
      <c r="L2290" s="35">
        <f t="shared" si="1077"/>
        <v>100</v>
      </c>
      <c r="M2290" s="35">
        <f t="shared" si="1078"/>
        <v>100</v>
      </c>
    </row>
    <row r="2291" spans="1:13">
      <c r="A2291" s="62" t="s">
        <v>612</v>
      </c>
      <c r="B2291" s="28" t="s">
        <v>903</v>
      </c>
      <c r="C2291" s="28" t="s">
        <v>150</v>
      </c>
      <c r="D2291" s="28" t="s">
        <v>46</v>
      </c>
      <c r="E2291" s="29" t="s">
        <v>614</v>
      </c>
      <c r="F2291" s="28"/>
      <c r="G2291" s="35"/>
      <c r="H2291" s="35">
        <f>H2292</f>
        <v>5697.1959999999999</v>
      </c>
      <c r="I2291" s="35">
        <f t="shared" si="1084"/>
        <v>5697.1959999999999</v>
      </c>
      <c r="J2291" s="35">
        <f t="shared" si="1084"/>
        <v>5697.1959999999999</v>
      </c>
      <c r="K2291" s="35">
        <f t="shared" si="1084"/>
        <v>5697.1959999999999</v>
      </c>
      <c r="L2291" s="35">
        <f t="shared" si="1077"/>
        <v>100</v>
      </c>
      <c r="M2291" s="35">
        <f t="shared" si="1078"/>
        <v>100</v>
      </c>
    </row>
    <row r="2292" spans="1:13">
      <c r="A2292" s="62" t="s">
        <v>26</v>
      </c>
      <c r="B2292" s="28" t="s">
        <v>903</v>
      </c>
      <c r="C2292" s="28" t="s">
        <v>150</v>
      </c>
      <c r="D2292" s="28" t="s">
        <v>46</v>
      </c>
      <c r="E2292" s="29" t="s">
        <v>614</v>
      </c>
      <c r="F2292" s="28">
        <v>500</v>
      </c>
      <c r="G2292" s="35"/>
      <c r="H2292" s="35">
        <f>H2293</f>
        <v>5697.1959999999999</v>
      </c>
      <c r="I2292" s="35">
        <f t="shared" si="1084"/>
        <v>5697.1959999999999</v>
      </c>
      <c r="J2292" s="35">
        <f t="shared" si="1084"/>
        <v>5697.1959999999999</v>
      </c>
      <c r="K2292" s="35">
        <f t="shared" si="1084"/>
        <v>5697.1959999999999</v>
      </c>
      <c r="L2292" s="35">
        <f t="shared" si="1077"/>
        <v>100</v>
      </c>
      <c r="M2292" s="35">
        <f t="shared" si="1078"/>
        <v>100</v>
      </c>
    </row>
    <row r="2293" spans="1:13">
      <c r="A2293" s="62" t="s">
        <v>352</v>
      </c>
      <c r="B2293" s="28" t="s">
        <v>903</v>
      </c>
      <c r="C2293" s="28" t="s">
        <v>150</v>
      </c>
      <c r="D2293" s="28" t="s">
        <v>46</v>
      </c>
      <c r="E2293" s="29" t="s">
        <v>614</v>
      </c>
      <c r="F2293" s="28">
        <v>540</v>
      </c>
      <c r="G2293" s="35"/>
      <c r="H2293" s="35">
        <v>5697.1959999999999</v>
      </c>
      <c r="I2293" s="35">
        <v>5697.1959999999999</v>
      </c>
      <c r="J2293" s="35">
        <v>5697.1959999999999</v>
      </c>
      <c r="K2293" s="35">
        <v>5697.1959999999999</v>
      </c>
      <c r="L2293" s="35">
        <f t="shared" si="1077"/>
        <v>100</v>
      </c>
      <c r="M2293" s="35">
        <f t="shared" si="1078"/>
        <v>100</v>
      </c>
    </row>
    <row r="2294" spans="1:13">
      <c r="A2294" s="59" t="s">
        <v>914</v>
      </c>
      <c r="B2294" s="28" t="s">
        <v>903</v>
      </c>
      <c r="C2294" s="28" t="s">
        <v>150</v>
      </c>
      <c r="D2294" s="28" t="s">
        <v>148</v>
      </c>
      <c r="E2294" s="58" t="s">
        <v>0</v>
      </c>
      <c r="F2294" s="58" t="s">
        <v>0</v>
      </c>
      <c r="G2294" s="35">
        <f>G2295</f>
        <v>872709.79999999981</v>
      </c>
      <c r="H2294" s="35">
        <f>H2295+H2310</f>
        <v>876168.3931799999</v>
      </c>
      <c r="I2294" s="35">
        <f t="shared" ref="I2294:K2294" si="1085">I2295+I2310</f>
        <v>649878.97547000006</v>
      </c>
      <c r="J2294" s="35">
        <f t="shared" si="1085"/>
        <v>649878.97547000006</v>
      </c>
      <c r="K2294" s="35">
        <f t="shared" si="1085"/>
        <v>646824.95007999998</v>
      </c>
      <c r="L2294" s="35">
        <f t="shared" si="1077"/>
        <v>73.824273406209983</v>
      </c>
      <c r="M2294" s="35">
        <f t="shared" si="1078"/>
        <v>99.530062441581308</v>
      </c>
    </row>
    <row r="2295" spans="1:13" ht="63.75">
      <c r="A2295" s="59" t="s">
        <v>166</v>
      </c>
      <c r="B2295" s="28" t="s">
        <v>903</v>
      </c>
      <c r="C2295" s="28" t="s">
        <v>150</v>
      </c>
      <c r="D2295" s="28" t="s">
        <v>148</v>
      </c>
      <c r="E2295" s="28" t="s">
        <v>167</v>
      </c>
      <c r="F2295" s="58" t="s">
        <v>0</v>
      </c>
      <c r="G2295" s="35">
        <f>G2296</f>
        <v>872709.79999999981</v>
      </c>
      <c r="H2295" s="35">
        <f t="shared" ref="H2295:K2295" si="1086">H2296</f>
        <v>872588.3931799999</v>
      </c>
      <c r="I2295" s="35">
        <f t="shared" si="1086"/>
        <v>646298.97547000006</v>
      </c>
      <c r="J2295" s="35">
        <f t="shared" si="1086"/>
        <v>646298.97547000006</v>
      </c>
      <c r="K2295" s="35">
        <f t="shared" si="1086"/>
        <v>643244.95007999998</v>
      </c>
      <c r="L2295" s="35">
        <f t="shared" si="1077"/>
        <v>73.716881304804346</v>
      </c>
      <c r="M2295" s="35">
        <f t="shared" si="1078"/>
        <v>99.527459348395354</v>
      </c>
    </row>
    <row r="2296" spans="1:13" ht="25.5">
      <c r="A2296" s="59" t="s">
        <v>915</v>
      </c>
      <c r="B2296" s="28" t="s">
        <v>903</v>
      </c>
      <c r="C2296" s="28" t="s">
        <v>150</v>
      </c>
      <c r="D2296" s="28" t="s">
        <v>148</v>
      </c>
      <c r="E2296" s="28" t="s">
        <v>916</v>
      </c>
      <c r="F2296" s="58" t="s">
        <v>0</v>
      </c>
      <c r="G2296" s="35">
        <f>G2297+G2307</f>
        <v>872709.79999999981</v>
      </c>
      <c r="H2296" s="35">
        <f t="shared" ref="H2296:K2296" si="1087">H2297+H2307</f>
        <v>872588.3931799999</v>
      </c>
      <c r="I2296" s="35">
        <f t="shared" si="1087"/>
        <v>646298.97547000006</v>
      </c>
      <c r="J2296" s="35">
        <f t="shared" si="1087"/>
        <v>646298.97547000006</v>
      </c>
      <c r="K2296" s="35">
        <f t="shared" si="1087"/>
        <v>643244.95007999998</v>
      </c>
      <c r="L2296" s="35">
        <f t="shared" si="1077"/>
        <v>73.716881304804346</v>
      </c>
      <c r="M2296" s="35">
        <f t="shared" si="1078"/>
        <v>99.527459348395354</v>
      </c>
    </row>
    <row r="2297" spans="1:13" ht="25.5">
      <c r="A2297" s="59" t="s">
        <v>76</v>
      </c>
      <c r="B2297" s="28" t="s">
        <v>903</v>
      </c>
      <c r="C2297" s="28" t="s">
        <v>150</v>
      </c>
      <c r="D2297" s="28" t="s">
        <v>148</v>
      </c>
      <c r="E2297" s="28" t="s">
        <v>917</v>
      </c>
      <c r="F2297" s="58" t="s">
        <v>0</v>
      </c>
      <c r="G2297" s="35">
        <f>G2298+G2300+G2302+G2304</f>
        <v>864692.29999999981</v>
      </c>
      <c r="H2297" s="35">
        <f t="shared" ref="H2297:K2297" si="1088">H2298+H2300+H2302+H2304</f>
        <v>864570.8931799999</v>
      </c>
      <c r="I2297" s="35">
        <f t="shared" si="1088"/>
        <v>639198.97547000006</v>
      </c>
      <c r="J2297" s="35">
        <f t="shared" si="1088"/>
        <v>639198.97547000006</v>
      </c>
      <c r="K2297" s="35">
        <f t="shared" si="1088"/>
        <v>636144.95007999998</v>
      </c>
      <c r="L2297" s="35">
        <f t="shared" si="1077"/>
        <v>73.579269797087349</v>
      </c>
      <c r="M2297" s="35">
        <f t="shared" si="1078"/>
        <v>99.522210531117565</v>
      </c>
    </row>
    <row r="2298" spans="1:13" ht="63.75">
      <c r="A2298" s="59" t="s">
        <v>60</v>
      </c>
      <c r="B2298" s="28" t="s">
        <v>903</v>
      </c>
      <c r="C2298" s="28" t="s">
        <v>150</v>
      </c>
      <c r="D2298" s="28" t="s">
        <v>148</v>
      </c>
      <c r="E2298" s="28" t="s">
        <v>917</v>
      </c>
      <c r="F2298" s="28" t="s">
        <v>61</v>
      </c>
      <c r="G2298" s="35">
        <f>G2299</f>
        <v>717545.7</v>
      </c>
      <c r="H2298" s="35">
        <f t="shared" ref="H2298:K2298" si="1089">H2299</f>
        <v>717424.27471000003</v>
      </c>
      <c r="I2298" s="35">
        <f t="shared" si="1089"/>
        <v>526971.78899999999</v>
      </c>
      <c r="J2298" s="35">
        <f t="shared" si="1089"/>
        <v>526971.78899999999</v>
      </c>
      <c r="K2298" s="35">
        <f t="shared" si="1089"/>
        <v>524033.43771999999</v>
      </c>
      <c r="L2298" s="35">
        <f t="shared" si="1077"/>
        <v>73.043728264119139</v>
      </c>
      <c r="M2298" s="35">
        <f t="shared" si="1078"/>
        <v>99.442408238669486</v>
      </c>
    </row>
    <row r="2299" spans="1:13">
      <c r="A2299" s="59" t="s">
        <v>78</v>
      </c>
      <c r="B2299" s="28" t="s">
        <v>903</v>
      </c>
      <c r="C2299" s="28" t="s">
        <v>150</v>
      </c>
      <c r="D2299" s="28" t="s">
        <v>148</v>
      </c>
      <c r="E2299" s="28" t="s">
        <v>917</v>
      </c>
      <c r="F2299" s="28" t="s">
        <v>79</v>
      </c>
      <c r="G2299" s="35">
        <v>717545.7</v>
      </c>
      <c r="H2299" s="35">
        <f>544716.8+8997.7+163709.77471</f>
        <v>717424.27471000003</v>
      </c>
      <c r="I2299" s="35">
        <f>399288.058+7219.47+120464.261</f>
        <v>526971.78899999999</v>
      </c>
      <c r="J2299" s="35">
        <f>399288.058+7219.47+120464.261</f>
        <v>526971.78899999999</v>
      </c>
      <c r="K2299" s="35">
        <f>396834.29051+7219.1259+119980.02131</f>
        <v>524033.43771999999</v>
      </c>
      <c r="L2299" s="35">
        <f t="shared" si="1077"/>
        <v>73.043728264119139</v>
      </c>
      <c r="M2299" s="35">
        <f t="shared" si="1078"/>
        <v>99.442408238669486</v>
      </c>
    </row>
    <row r="2300" spans="1:13" ht="25.5">
      <c r="A2300" s="59" t="s">
        <v>64</v>
      </c>
      <c r="B2300" s="28" t="s">
        <v>903</v>
      </c>
      <c r="C2300" s="28" t="s">
        <v>150</v>
      </c>
      <c r="D2300" s="28" t="s">
        <v>148</v>
      </c>
      <c r="E2300" s="28" t="s">
        <v>917</v>
      </c>
      <c r="F2300" s="28" t="s">
        <v>65</v>
      </c>
      <c r="G2300" s="35">
        <f>G2301</f>
        <v>62376.7</v>
      </c>
      <c r="H2300" s="35">
        <f t="shared" ref="H2300:K2300" si="1090">H2301</f>
        <v>62376.71847</v>
      </c>
      <c r="I2300" s="35">
        <f t="shared" si="1090"/>
        <v>43334.536469999999</v>
      </c>
      <c r="J2300" s="35">
        <f t="shared" si="1090"/>
        <v>43334.536469999999</v>
      </c>
      <c r="K2300" s="35">
        <f t="shared" si="1090"/>
        <v>43250.101000000002</v>
      </c>
      <c r="L2300" s="35">
        <f t="shared" si="1077"/>
        <v>69.336929003088031</v>
      </c>
      <c r="M2300" s="35">
        <f t="shared" si="1078"/>
        <v>99.805154325214829</v>
      </c>
    </row>
    <row r="2301" spans="1:13" ht="25.5">
      <c r="A2301" s="59" t="s">
        <v>66</v>
      </c>
      <c r="B2301" s="28" t="s">
        <v>903</v>
      </c>
      <c r="C2301" s="28" t="s">
        <v>150</v>
      </c>
      <c r="D2301" s="28" t="s">
        <v>148</v>
      </c>
      <c r="E2301" s="28" t="s">
        <v>917</v>
      </c>
      <c r="F2301" s="28" t="s">
        <v>67</v>
      </c>
      <c r="G2301" s="35">
        <v>62376.7</v>
      </c>
      <c r="H2301" s="35">
        <v>62376.71847</v>
      </c>
      <c r="I2301" s="35">
        <v>43334.536469999999</v>
      </c>
      <c r="J2301" s="35">
        <v>43334.536469999999</v>
      </c>
      <c r="K2301" s="35">
        <v>43250.101000000002</v>
      </c>
      <c r="L2301" s="35">
        <f t="shared" si="1077"/>
        <v>69.336929003088031</v>
      </c>
      <c r="M2301" s="35">
        <f t="shared" si="1078"/>
        <v>99.805154325214829</v>
      </c>
    </row>
    <row r="2302" spans="1:13" ht="25.5">
      <c r="A2302" s="59" t="s">
        <v>80</v>
      </c>
      <c r="B2302" s="28" t="s">
        <v>903</v>
      </c>
      <c r="C2302" s="28" t="s">
        <v>150</v>
      </c>
      <c r="D2302" s="28" t="s">
        <v>148</v>
      </c>
      <c r="E2302" s="28" t="s">
        <v>917</v>
      </c>
      <c r="F2302" s="28" t="s">
        <v>81</v>
      </c>
      <c r="G2302" s="35">
        <f>G2303</f>
        <v>78263.199999999997</v>
      </c>
      <c r="H2302" s="35">
        <f t="shared" ref="H2302:K2302" si="1091">H2303</f>
        <v>78263.199999999997</v>
      </c>
      <c r="I2302" s="35">
        <f t="shared" si="1091"/>
        <v>63620</v>
      </c>
      <c r="J2302" s="35">
        <f t="shared" si="1091"/>
        <v>63620</v>
      </c>
      <c r="K2302" s="35">
        <f t="shared" si="1091"/>
        <v>63620</v>
      </c>
      <c r="L2302" s="35">
        <f t="shared" si="1077"/>
        <v>81.289801592574804</v>
      </c>
      <c r="M2302" s="35">
        <f t="shared" si="1078"/>
        <v>100</v>
      </c>
    </row>
    <row r="2303" spans="1:13">
      <c r="A2303" s="59" t="s">
        <v>271</v>
      </c>
      <c r="B2303" s="28" t="s">
        <v>903</v>
      </c>
      <c r="C2303" s="28" t="s">
        <v>150</v>
      </c>
      <c r="D2303" s="28" t="s">
        <v>148</v>
      </c>
      <c r="E2303" s="28" t="s">
        <v>917</v>
      </c>
      <c r="F2303" s="28" t="s">
        <v>272</v>
      </c>
      <c r="G2303" s="35">
        <v>78263.199999999997</v>
      </c>
      <c r="H2303" s="35">
        <f>77713.2+550</f>
        <v>78263.199999999997</v>
      </c>
      <c r="I2303" s="35">
        <f>63070+550</f>
        <v>63620</v>
      </c>
      <c r="J2303" s="35">
        <f>63070+550</f>
        <v>63620</v>
      </c>
      <c r="K2303" s="35">
        <f>63070+550</f>
        <v>63620</v>
      </c>
      <c r="L2303" s="35">
        <f t="shared" si="1077"/>
        <v>81.289801592574804</v>
      </c>
      <c r="M2303" s="35">
        <f t="shared" si="1078"/>
        <v>100</v>
      </c>
    </row>
    <row r="2304" spans="1:13">
      <c r="A2304" s="59" t="s">
        <v>72</v>
      </c>
      <c r="B2304" s="28" t="s">
        <v>903</v>
      </c>
      <c r="C2304" s="28" t="s">
        <v>150</v>
      </c>
      <c r="D2304" s="28" t="s">
        <v>148</v>
      </c>
      <c r="E2304" s="28" t="s">
        <v>917</v>
      </c>
      <c r="F2304" s="28" t="s">
        <v>73</v>
      </c>
      <c r="G2304" s="35">
        <f>G2306</f>
        <v>6506.7</v>
      </c>
      <c r="H2304" s="35">
        <f>H2306+H2305</f>
        <v>6506.7</v>
      </c>
      <c r="I2304" s="35">
        <f t="shared" ref="I2304:K2304" si="1092">I2306+I2305</f>
        <v>5272.6500000000005</v>
      </c>
      <c r="J2304" s="35">
        <f t="shared" si="1092"/>
        <v>5272.6500000000005</v>
      </c>
      <c r="K2304" s="35">
        <f t="shared" si="1092"/>
        <v>5241.4113600000001</v>
      </c>
      <c r="L2304" s="35">
        <f t="shared" si="1077"/>
        <v>80.554065194338136</v>
      </c>
      <c r="M2304" s="35">
        <f t="shared" si="1078"/>
        <v>99.407534351796528</v>
      </c>
    </row>
    <row r="2305" spans="1:13">
      <c r="A2305" s="59" t="s">
        <v>84</v>
      </c>
      <c r="B2305" s="28" t="s">
        <v>903</v>
      </c>
      <c r="C2305" s="28" t="s">
        <v>150</v>
      </c>
      <c r="D2305" s="28" t="s">
        <v>148</v>
      </c>
      <c r="E2305" s="28" t="s">
        <v>917</v>
      </c>
      <c r="F2305" s="28">
        <v>830</v>
      </c>
      <c r="G2305" s="35"/>
      <c r="H2305" s="35">
        <v>14.808999999999999</v>
      </c>
      <c r="I2305" s="35">
        <v>14.808999999999999</v>
      </c>
      <c r="J2305" s="35">
        <v>14.808999999999999</v>
      </c>
      <c r="K2305" s="35">
        <v>14.808999999999999</v>
      </c>
      <c r="L2305" s="35">
        <f t="shared" si="1077"/>
        <v>100</v>
      </c>
      <c r="M2305" s="35">
        <f t="shared" si="1078"/>
        <v>100</v>
      </c>
    </row>
    <row r="2306" spans="1:13">
      <c r="A2306" s="59" t="s">
        <v>74</v>
      </c>
      <c r="B2306" s="28" t="s">
        <v>903</v>
      </c>
      <c r="C2306" s="28" t="s">
        <v>150</v>
      </c>
      <c r="D2306" s="28" t="s">
        <v>148</v>
      </c>
      <c r="E2306" s="28" t="s">
        <v>917</v>
      </c>
      <c r="F2306" s="28" t="s">
        <v>75</v>
      </c>
      <c r="G2306" s="35">
        <v>6506.7</v>
      </c>
      <c r="H2306" s="35">
        <f>4080.891+2326+85</f>
        <v>6491.8909999999996</v>
      </c>
      <c r="I2306" s="35">
        <f>3291.291+1881.55+85</f>
        <v>5257.8410000000003</v>
      </c>
      <c r="J2306" s="35">
        <f>3291.291+1881.55+85</f>
        <v>5257.8410000000003</v>
      </c>
      <c r="K2306" s="35">
        <f>3265.80375+1875.79861+85</f>
        <v>5226.6023599999999</v>
      </c>
      <c r="L2306" s="35">
        <f t="shared" si="1077"/>
        <v>80.509706031724818</v>
      </c>
      <c r="M2306" s="35">
        <f t="shared" si="1078"/>
        <v>99.405865639527704</v>
      </c>
    </row>
    <row r="2307" spans="1:13" ht="25.5">
      <c r="A2307" s="59" t="s">
        <v>918</v>
      </c>
      <c r="B2307" s="28" t="s">
        <v>903</v>
      </c>
      <c r="C2307" s="28" t="s">
        <v>150</v>
      </c>
      <c r="D2307" s="28" t="s">
        <v>148</v>
      </c>
      <c r="E2307" s="28" t="s">
        <v>919</v>
      </c>
      <c r="F2307" s="58" t="s">
        <v>0</v>
      </c>
      <c r="G2307" s="35">
        <f>G2308</f>
        <v>8017.5</v>
      </c>
      <c r="H2307" s="35">
        <f t="shared" ref="H2307:K2308" si="1093">H2308</f>
        <v>8017.5</v>
      </c>
      <c r="I2307" s="35">
        <f t="shared" si="1093"/>
        <v>7100</v>
      </c>
      <c r="J2307" s="35">
        <f t="shared" si="1093"/>
        <v>7100</v>
      </c>
      <c r="K2307" s="35">
        <f t="shared" si="1093"/>
        <v>7100</v>
      </c>
      <c r="L2307" s="35">
        <f t="shared" si="1077"/>
        <v>88.556283130651707</v>
      </c>
      <c r="M2307" s="35">
        <f t="shared" si="1078"/>
        <v>100</v>
      </c>
    </row>
    <row r="2308" spans="1:13" ht="25.5">
      <c r="A2308" s="59" t="s">
        <v>80</v>
      </c>
      <c r="B2308" s="28" t="s">
        <v>903</v>
      </c>
      <c r="C2308" s="28" t="s">
        <v>150</v>
      </c>
      <c r="D2308" s="28" t="s">
        <v>148</v>
      </c>
      <c r="E2308" s="28" t="s">
        <v>919</v>
      </c>
      <c r="F2308" s="28" t="s">
        <v>81</v>
      </c>
      <c r="G2308" s="35">
        <f>G2309</f>
        <v>8017.5</v>
      </c>
      <c r="H2308" s="35">
        <f t="shared" si="1093"/>
        <v>8017.5</v>
      </c>
      <c r="I2308" s="35">
        <f t="shared" si="1093"/>
        <v>7100</v>
      </c>
      <c r="J2308" s="35">
        <f t="shared" si="1093"/>
        <v>7100</v>
      </c>
      <c r="K2308" s="35">
        <f t="shared" si="1093"/>
        <v>7100</v>
      </c>
      <c r="L2308" s="35">
        <f t="shared" si="1077"/>
        <v>88.556283130651707</v>
      </c>
      <c r="M2308" s="35">
        <f t="shared" si="1078"/>
        <v>100</v>
      </c>
    </row>
    <row r="2309" spans="1:13" ht="38.25">
      <c r="A2309" s="59" t="s">
        <v>195</v>
      </c>
      <c r="B2309" s="28" t="s">
        <v>903</v>
      </c>
      <c r="C2309" s="28" t="s">
        <v>150</v>
      </c>
      <c r="D2309" s="28" t="s">
        <v>148</v>
      </c>
      <c r="E2309" s="28" t="s">
        <v>919</v>
      </c>
      <c r="F2309" s="28" t="s">
        <v>196</v>
      </c>
      <c r="G2309" s="35">
        <v>8017.5</v>
      </c>
      <c r="H2309" s="35">
        <v>8017.5</v>
      </c>
      <c r="I2309" s="35">
        <v>7100</v>
      </c>
      <c r="J2309" s="35">
        <v>7100</v>
      </c>
      <c r="K2309" s="35">
        <v>7100</v>
      </c>
      <c r="L2309" s="35">
        <f t="shared" si="1077"/>
        <v>88.556283130651707</v>
      </c>
      <c r="M2309" s="35">
        <f t="shared" si="1078"/>
        <v>100</v>
      </c>
    </row>
    <row r="2310" spans="1:13" ht="24.75" customHeight="1">
      <c r="A2310" s="62" t="s">
        <v>612</v>
      </c>
      <c r="B2310" s="28" t="s">
        <v>903</v>
      </c>
      <c r="C2310" s="28" t="s">
        <v>150</v>
      </c>
      <c r="D2310" s="28" t="s">
        <v>148</v>
      </c>
      <c r="E2310" s="29" t="s">
        <v>613</v>
      </c>
      <c r="F2310" s="28"/>
      <c r="G2310" s="35"/>
      <c r="H2310" s="35">
        <f>H2311</f>
        <v>3580</v>
      </c>
      <c r="I2310" s="35">
        <f t="shared" ref="I2310:K2312" si="1094">I2311</f>
        <v>3580</v>
      </c>
      <c r="J2310" s="35">
        <f t="shared" si="1094"/>
        <v>3580</v>
      </c>
      <c r="K2310" s="35">
        <f t="shared" si="1094"/>
        <v>3580</v>
      </c>
      <c r="L2310" s="35">
        <f t="shared" si="1077"/>
        <v>100</v>
      </c>
      <c r="M2310" s="35">
        <f t="shared" si="1078"/>
        <v>100</v>
      </c>
    </row>
    <row r="2311" spans="1:13" ht="24.75" customHeight="1">
      <c r="A2311" s="62" t="s">
        <v>612</v>
      </c>
      <c r="B2311" s="28" t="s">
        <v>903</v>
      </c>
      <c r="C2311" s="28" t="s">
        <v>150</v>
      </c>
      <c r="D2311" s="28" t="s">
        <v>148</v>
      </c>
      <c r="E2311" s="29" t="s">
        <v>614</v>
      </c>
      <c r="F2311" s="28"/>
      <c r="G2311" s="35"/>
      <c r="H2311" s="35">
        <f>H2312+H2314</f>
        <v>3580</v>
      </c>
      <c r="I2311" s="35">
        <f t="shared" ref="I2311:K2311" si="1095">I2312+I2314</f>
        <v>3580</v>
      </c>
      <c r="J2311" s="35">
        <f t="shared" si="1095"/>
        <v>3580</v>
      </c>
      <c r="K2311" s="35">
        <f t="shared" si="1095"/>
        <v>3580</v>
      </c>
      <c r="L2311" s="35">
        <f t="shared" si="1077"/>
        <v>100</v>
      </c>
      <c r="M2311" s="35">
        <f t="shared" si="1078"/>
        <v>100</v>
      </c>
    </row>
    <row r="2312" spans="1:13">
      <c r="A2312" s="62" t="s">
        <v>26</v>
      </c>
      <c r="B2312" s="28" t="s">
        <v>903</v>
      </c>
      <c r="C2312" s="28" t="s">
        <v>150</v>
      </c>
      <c r="D2312" s="28" t="s">
        <v>148</v>
      </c>
      <c r="E2312" s="29" t="s">
        <v>614</v>
      </c>
      <c r="F2312" s="28">
        <v>500</v>
      </c>
      <c r="G2312" s="35"/>
      <c r="H2312" s="35">
        <f>H2313</f>
        <v>600</v>
      </c>
      <c r="I2312" s="35">
        <f t="shared" si="1094"/>
        <v>600</v>
      </c>
      <c r="J2312" s="35">
        <f t="shared" si="1094"/>
        <v>600</v>
      </c>
      <c r="K2312" s="35">
        <f t="shared" si="1094"/>
        <v>600</v>
      </c>
      <c r="L2312" s="35">
        <f t="shared" si="1077"/>
        <v>100</v>
      </c>
      <c r="M2312" s="35">
        <f t="shared" si="1078"/>
        <v>100</v>
      </c>
    </row>
    <row r="2313" spans="1:13">
      <c r="A2313" s="62" t="s">
        <v>352</v>
      </c>
      <c r="B2313" s="28" t="s">
        <v>903</v>
      </c>
      <c r="C2313" s="28" t="s">
        <v>150</v>
      </c>
      <c r="D2313" s="28" t="s">
        <v>148</v>
      </c>
      <c r="E2313" s="29" t="s">
        <v>614</v>
      </c>
      <c r="F2313" s="28">
        <v>540</v>
      </c>
      <c r="G2313" s="35"/>
      <c r="H2313" s="35">
        <v>600</v>
      </c>
      <c r="I2313" s="35">
        <v>600</v>
      </c>
      <c r="J2313" s="35">
        <v>600</v>
      </c>
      <c r="K2313" s="35">
        <v>600</v>
      </c>
      <c r="L2313" s="35">
        <f t="shared" si="1077"/>
        <v>100</v>
      </c>
      <c r="M2313" s="35">
        <f t="shared" si="1078"/>
        <v>100</v>
      </c>
    </row>
    <row r="2314" spans="1:13" s="92" customFormat="1" ht="25.5">
      <c r="A2314" s="59" t="s">
        <v>80</v>
      </c>
      <c r="B2314" s="28" t="s">
        <v>903</v>
      </c>
      <c r="C2314" s="28" t="s">
        <v>150</v>
      </c>
      <c r="D2314" s="28" t="s">
        <v>148</v>
      </c>
      <c r="E2314" s="29" t="s">
        <v>614</v>
      </c>
      <c r="F2314" s="28">
        <v>600</v>
      </c>
      <c r="G2314" s="35"/>
      <c r="H2314" s="35">
        <f>H2315</f>
        <v>2980</v>
      </c>
      <c r="I2314" s="35">
        <f t="shared" ref="I2314:K2314" si="1096">I2315</f>
        <v>2980</v>
      </c>
      <c r="J2314" s="35">
        <f t="shared" si="1096"/>
        <v>2980</v>
      </c>
      <c r="K2314" s="35">
        <f t="shared" si="1096"/>
        <v>2980</v>
      </c>
      <c r="L2314" s="35">
        <f t="shared" si="1077"/>
        <v>100</v>
      </c>
      <c r="M2314" s="35">
        <f t="shared" si="1078"/>
        <v>100</v>
      </c>
    </row>
    <row r="2315" spans="1:13" s="92" customFormat="1">
      <c r="A2315" s="59" t="s">
        <v>271</v>
      </c>
      <c r="B2315" s="28" t="s">
        <v>903</v>
      </c>
      <c r="C2315" s="28" t="s">
        <v>150</v>
      </c>
      <c r="D2315" s="28" t="s">
        <v>148</v>
      </c>
      <c r="E2315" s="29" t="s">
        <v>614</v>
      </c>
      <c r="F2315" s="28">
        <v>610</v>
      </c>
      <c r="G2315" s="35"/>
      <c r="H2315" s="35">
        <v>2980</v>
      </c>
      <c r="I2315" s="35">
        <v>2980</v>
      </c>
      <c r="J2315" s="35">
        <v>2980</v>
      </c>
      <c r="K2315" s="35">
        <v>2980</v>
      </c>
      <c r="L2315" s="35">
        <f t="shared" si="1077"/>
        <v>100</v>
      </c>
      <c r="M2315" s="35">
        <f t="shared" si="1078"/>
        <v>100</v>
      </c>
    </row>
    <row r="2316" spans="1:13">
      <c r="A2316" s="60" t="s">
        <v>0</v>
      </c>
      <c r="B2316" s="58" t="s">
        <v>0</v>
      </c>
      <c r="C2316" s="58" t="s">
        <v>0</v>
      </c>
      <c r="D2316" s="58" t="s">
        <v>0</v>
      </c>
      <c r="E2316" s="58" t="s">
        <v>0</v>
      </c>
      <c r="F2316" s="58" t="s">
        <v>0</v>
      </c>
      <c r="G2316" s="61" t="s">
        <v>0</v>
      </c>
      <c r="H2316" s="61" t="s">
        <v>0</v>
      </c>
      <c r="I2316" s="61" t="s">
        <v>0</v>
      </c>
      <c r="J2316" s="61" t="s">
        <v>0</v>
      </c>
      <c r="K2316" s="61" t="s">
        <v>0</v>
      </c>
      <c r="L2316" s="35"/>
      <c r="M2316" s="35"/>
    </row>
    <row r="2317" spans="1:13">
      <c r="A2317" s="59" t="s">
        <v>109</v>
      </c>
      <c r="B2317" s="28" t="s">
        <v>903</v>
      </c>
      <c r="C2317" s="28" t="s">
        <v>110</v>
      </c>
      <c r="D2317" s="58" t="s">
        <v>0</v>
      </c>
      <c r="E2317" s="58" t="s">
        <v>0</v>
      </c>
      <c r="F2317" s="58" t="s">
        <v>0</v>
      </c>
      <c r="G2317" s="35">
        <f t="shared" ref="G2317:G2322" si="1097">G2318</f>
        <v>10324.1</v>
      </c>
      <c r="H2317" s="35">
        <f t="shared" ref="H2317:K2322" si="1098">H2318</f>
        <v>10324.1</v>
      </c>
      <c r="I2317" s="35">
        <f t="shared" si="1098"/>
        <v>7947.3</v>
      </c>
      <c r="J2317" s="35">
        <f t="shared" si="1098"/>
        <v>7947.3</v>
      </c>
      <c r="K2317" s="35">
        <f t="shared" si="1098"/>
        <v>7947.3</v>
      </c>
      <c r="L2317" s="35">
        <f t="shared" si="1077"/>
        <v>76.978138530235086</v>
      </c>
      <c r="M2317" s="35">
        <f t="shared" si="1078"/>
        <v>100</v>
      </c>
    </row>
    <row r="2318" spans="1:13" ht="25.5">
      <c r="A2318" s="59" t="s">
        <v>288</v>
      </c>
      <c r="B2318" s="28" t="s">
        <v>903</v>
      </c>
      <c r="C2318" s="28" t="s">
        <v>110</v>
      </c>
      <c r="D2318" s="28" t="s">
        <v>93</v>
      </c>
      <c r="E2318" s="58" t="s">
        <v>0</v>
      </c>
      <c r="F2318" s="58" t="s">
        <v>0</v>
      </c>
      <c r="G2318" s="35">
        <f t="shared" si="1097"/>
        <v>10324.1</v>
      </c>
      <c r="H2318" s="35">
        <f t="shared" si="1098"/>
        <v>10324.1</v>
      </c>
      <c r="I2318" s="35">
        <f t="shared" si="1098"/>
        <v>7947.3</v>
      </c>
      <c r="J2318" s="35">
        <f t="shared" si="1098"/>
        <v>7947.3</v>
      </c>
      <c r="K2318" s="35">
        <f t="shared" si="1098"/>
        <v>7947.3</v>
      </c>
      <c r="L2318" s="35">
        <f t="shared" si="1077"/>
        <v>76.978138530235086</v>
      </c>
      <c r="M2318" s="35">
        <f t="shared" si="1078"/>
        <v>100</v>
      </c>
    </row>
    <row r="2319" spans="1:13" ht="63.75">
      <c r="A2319" s="59" t="s">
        <v>166</v>
      </c>
      <c r="B2319" s="28" t="s">
        <v>903</v>
      </c>
      <c r="C2319" s="28" t="s">
        <v>110</v>
      </c>
      <c r="D2319" s="28" t="s">
        <v>93</v>
      </c>
      <c r="E2319" s="28" t="s">
        <v>167</v>
      </c>
      <c r="F2319" s="58" t="s">
        <v>0</v>
      </c>
      <c r="G2319" s="35">
        <f t="shared" si="1097"/>
        <v>10324.1</v>
      </c>
      <c r="H2319" s="35">
        <f t="shared" si="1098"/>
        <v>10324.1</v>
      </c>
      <c r="I2319" s="35">
        <f t="shared" si="1098"/>
        <v>7947.3</v>
      </c>
      <c r="J2319" s="35">
        <f t="shared" si="1098"/>
        <v>7947.3</v>
      </c>
      <c r="K2319" s="35">
        <f t="shared" si="1098"/>
        <v>7947.3</v>
      </c>
      <c r="L2319" s="35">
        <f t="shared" si="1077"/>
        <v>76.978138530235086</v>
      </c>
      <c r="M2319" s="35">
        <f t="shared" si="1078"/>
        <v>100</v>
      </c>
    </row>
    <row r="2320" spans="1:13" ht="63.75">
      <c r="A2320" s="59" t="s">
        <v>168</v>
      </c>
      <c r="B2320" s="28" t="s">
        <v>903</v>
      </c>
      <c r="C2320" s="28" t="s">
        <v>110</v>
      </c>
      <c r="D2320" s="28" t="s">
        <v>93</v>
      </c>
      <c r="E2320" s="28" t="s">
        <v>169</v>
      </c>
      <c r="F2320" s="58" t="s">
        <v>0</v>
      </c>
      <c r="G2320" s="35">
        <f t="shared" si="1097"/>
        <v>10324.1</v>
      </c>
      <c r="H2320" s="35">
        <f t="shared" si="1098"/>
        <v>10324.1</v>
      </c>
      <c r="I2320" s="35">
        <f t="shared" si="1098"/>
        <v>7947.3</v>
      </c>
      <c r="J2320" s="35">
        <f t="shared" si="1098"/>
        <v>7947.3</v>
      </c>
      <c r="K2320" s="35">
        <f t="shared" si="1098"/>
        <v>7947.3</v>
      </c>
      <c r="L2320" s="35">
        <f t="shared" si="1077"/>
        <v>76.978138530235086</v>
      </c>
      <c r="M2320" s="35">
        <f t="shared" si="1078"/>
        <v>100</v>
      </c>
    </row>
    <row r="2321" spans="1:13" ht="25.5">
      <c r="A2321" s="59" t="s">
        <v>76</v>
      </c>
      <c r="B2321" s="28" t="s">
        <v>903</v>
      </c>
      <c r="C2321" s="28" t="s">
        <v>110</v>
      </c>
      <c r="D2321" s="28" t="s">
        <v>93</v>
      </c>
      <c r="E2321" s="28" t="s">
        <v>904</v>
      </c>
      <c r="F2321" s="58" t="s">
        <v>0</v>
      </c>
      <c r="G2321" s="35">
        <f t="shared" si="1097"/>
        <v>10324.1</v>
      </c>
      <c r="H2321" s="35">
        <f t="shared" si="1098"/>
        <v>10324.1</v>
      </c>
      <c r="I2321" s="35">
        <f t="shared" si="1098"/>
        <v>7947.3</v>
      </c>
      <c r="J2321" s="35">
        <f t="shared" si="1098"/>
        <v>7947.3</v>
      </c>
      <c r="K2321" s="35">
        <f t="shared" si="1098"/>
        <v>7947.3</v>
      </c>
      <c r="L2321" s="35">
        <f t="shared" si="1077"/>
        <v>76.978138530235086</v>
      </c>
      <c r="M2321" s="35">
        <f t="shared" si="1078"/>
        <v>100</v>
      </c>
    </row>
    <row r="2322" spans="1:13" ht="25.5">
      <c r="A2322" s="59" t="s">
        <v>80</v>
      </c>
      <c r="B2322" s="28" t="s">
        <v>903</v>
      </c>
      <c r="C2322" s="28" t="s">
        <v>110</v>
      </c>
      <c r="D2322" s="28" t="s">
        <v>93</v>
      </c>
      <c r="E2322" s="28" t="s">
        <v>904</v>
      </c>
      <c r="F2322" s="28" t="s">
        <v>81</v>
      </c>
      <c r="G2322" s="35">
        <f t="shared" si="1097"/>
        <v>10324.1</v>
      </c>
      <c r="H2322" s="35">
        <f t="shared" si="1098"/>
        <v>10324.1</v>
      </c>
      <c r="I2322" s="35">
        <f t="shared" si="1098"/>
        <v>7947.3</v>
      </c>
      <c r="J2322" s="35">
        <f t="shared" si="1098"/>
        <v>7947.3</v>
      </c>
      <c r="K2322" s="35">
        <f t="shared" si="1098"/>
        <v>7947.3</v>
      </c>
      <c r="L2322" s="35">
        <f t="shared" si="1077"/>
        <v>76.978138530235086</v>
      </c>
      <c r="M2322" s="35">
        <f t="shared" si="1078"/>
        <v>100</v>
      </c>
    </row>
    <row r="2323" spans="1:13">
      <c r="A2323" s="59" t="s">
        <v>271</v>
      </c>
      <c r="B2323" s="28" t="s">
        <v>903</v>
      </c>
      <c r="C2323" s="28" t="s">
        <v>110</v>
      </c>
      <c r="D2323" s="28" t="s">
        <v>93</v>
      </c>
      <c r="E2323" s="28" t="s">
        <v>904</v>
      </c>
      <c r="F2323" s="28" t="s">
        <v>272</v>
      </c>
      <c r="G2323" s="35">
        <v>10324.1</v>
      </c>
      <c r="H2323" s="35">
        <v>10324.1</v>
      </c>
      <c r="I2323" s="35">
        <v>7947.3</v>
      </c>
      <c r="J2323" s="35">
        <v>7947.3</v>
      </c>
      <c r="K2323" s="35">
        <v>7947.3</v>
      </c>
      <c r="L2323" s="35">
        <f t="shared" si="1077"/>
        <v>76.978138530235086</v>
      </c>
      <c r="M2323" s="35">
        <f t="shared" si="1078"/>
        <v>100</v>
      </c>
    </row>
    <row r="2324" spans="1:13">
      <c r="A2324" s="64" t="s">
        <v>0</v>
      </c>
      <c r="B2324" s="65" t="s">
        <v>0</v>
      </c>
      <c r="C2324" s="58" t="s">
        <v>0</v>
      </c>
      <c r="D2324" s="58" t="s">
        <v>0</v>
      </c>
      <c r="E2324" s="58" t="s">
        <v>0</v>
      </c>
      <c r="F2324" s="58" t="s">
        <v>0</v>
      </c>
      <c r="G2324" s="66" t="s">
        <v>0</v>
      </c>
      <c r="H2324" s="66"/>
      <c r="I2324" s="66"/>
      <c r="J2324" s="66"/>
      <c r="K2324" s="66"/>
      <c r="L2324" s="35"/>
      <c r="M2324" s="35"/>
    </row>
    <row r="2325" spans="1:13" ht="25.5">
      <c r="A2325" s="56" t="s">
        <v>920</v>
      </c>
      <c r="B2325" s="57" t="s">
        <v>921</v>
      </c>
      <c r="C2325" s="58" t="s">
        <v>0</v>
      </c>
      <c r="D2325" s="58" t="s">
        <v>0</v>
      </c>
      <c r="E2325" s="58" t="s">
        <v>0</v>
      </c>
      <c r="F2325" s="58" t="s">
        <v>0</v>
      </c>
      <c r="G2325" s="30">
        <f>G2326+G2345</f>
        <v>456980.9</v>
      </c>
      <c r="H2325" s="30">
        <f>H2326+H2345+H2338</f>
        <v>475682.1784700001</v>
      </c>
      <c r="I2325" s="30">
        <f t="shared" ref="I2325:K2325" si="1099">I2326+I2345+I2338</f>
        <v>376486.47839</v>
      </c>
      <c r="J2325" s="30">
        <f t="shared" si="1099"/>
        <v>374486.47839</v>
      </c>
      <c r="K2325" s="30">
        <f t="shared" si="1099"/>
        <v>362940.25508999999</v>
      </c>
      <c r="L2325" s="30">
        <f t="shared" si="1077"/>
        <v>76.29889693521271</v>
      </c>
      <c r="M2325" s="30">
        <f t="shared" si="1078"/>
        <v>96.401936303813926</v>
      </c>
    </row>
    <row r="2326" spans="1:13">
      <c r="A2326" s="59" t="s">
        <v>16</v>
      </c>
      <c r="B2326" s="28" t="s">
        <v>921</v>
      </c>
      <c r="C2326" s="28" t="s">
        <v>17</v>
      </c>
      <c r="D2326" s="58" t="s">
        <v>0</v>
      </c>
      <c r="E2326" s="58" t="s">
        <v>0</v>
      </c>
      <c r="F2326" s="58" t="s">
        <v>0</v>
      </c>
      <c r="G2326" s="35">
        <f>G2327</f>
        <v>31624.3</v>
      </c>
      <c r="H2326" s="35">
        <f t="shared" ref="H2326:K2329" si="1100">H2327</f>
        <v>25140.310079999999</v>
      </c>
      <c r="I2326" s="35">
        <f t="shared" si="1100"/>
        <v>20968.75</v>
      </c>
      <c r="J2326" s="35">
        <f t="shared" si="1100"/>
        <v>20968.75</v>
      </c>
      <c r="K2326" s="35">
        <f t="shared" si="1100"/>
        <v>17489.22741</v>
      </c>
      <c r="L2326" s="35">
        <f t="shared" si="1077"/>
        <v>69.566474535703108</v>
      </c>
      <c r="M2326" s="35">
        <f t="shared" si="1078"/>
        <v>83.406151582712369</v>
      </c>
    </row>
    <row r="2327" spans="1:13">
      <c r="A2327" s="59" t="s">
        <v>386</v>
      </c>
      <c r="B2327" s="28" t="s">
        <v>921</v>
      </c>
      <c r="C2327" s="28" t="s">
        <v>17</v>
      </c>
      <c r="D2327" s="28" t="s">
        <v>387</v>
      </c>
      <c r="E2327" s="58" t="s">
        <v>0</v>
      </c>
      <c r="F2327" s="58" t="s">
        <v>0</v>
      </c>
      <c r="G2327" s="35">
        <f>G2328</f>
        <v>31624.3</v>
      </c>
      <c r="H2327" s="35">
        <f t="shared" si="1100"/>
        <v>25140.310079999999</v>
      </c>
      <c r="I2327" s="35">
        <f t="shared" si="1100"/>
        <v>20968.75</v>
      </c>
      <c r="J2327" s="35">
        <f t="shared" si="1100"/>
        <v>20968.75</v>
      </c>
      <c r="K2327" s="35">
        <f t="shared" si="1100"/>
        <v>17489.22741</v>
      </c>
      <c r="L2327" s="35">
        <f t="shared" si="1077"/>
        <v>69.566474535703108</v>
      </c>
      <c r="M2327" s="35">
        <f t="shared" si="1078"/>
        <v>83.406151582712369</v>
      </c>
    </row>
    <row r="2328" spans="1:13" ht="63.75">
      <c r="A2328" s="59" t="s">
        <v>156</v>
      </c>
      <c r="B2328" s="28" t="s">
        <v>921</v>
      </c>
      <c r="C2328" s="28" t="s">
        <v>17</v>
      </c>
      <c r="D2328" s="28" t="s">
        <v>387</v>
      </c>
      <c r="E2328" s="28" t="s">
        <v>157</v>
      </c>
      <c r="F2328" s="58" t="s">
        <v>0</v>
      </c>
      <c r="G2328" s="35">
        <f>G2329</f>
        <v>31624.3</v>
      </c>
      <c r="H2328" s="35">
        <f t="shared" si="1100"/>
        <v>25140.310079999999</v>
      </c>
      <c r="I2328" s="35">
        <f t="shared" si="1100"/>
        <v>20968.75</v>
      </c>
      <c r="J2328" s="35">
        <f t="shared" si="1100"/>
        <v>20968.75</v>
      </c>
      <c r="K2328" s="35">
        <f t="shared" si="1100"/>
        <v>17489.22741</v>
      </c>
      <c r="L2328" s="35">
        <f t="shared" si="1077"/>
        <v>69.566474535703108</v>
      </c>
      <c r="M2328" s="35">
        <f t="shared" si="1078"/>
        <v>83.406151582712369</v>
      </c>
    </row>
    <row r="2329" spans="1:13" ht="25.5">
      <c r="A2329" s="59" t="s">
        <v>22</v>
      </c>
      <c r="B2329" s="28" t="s">
        <v>921</v>
      </c>
      <c r="C2329" s="28" t="s">
        <v>17</v>
      </c>
      <c r="D2329" s="28" t="s">
        <v>387</v>
      </c>
      <c r="E2329" s="28" t="s">
        <v>922</v>
      </c>
      <c r="F2329" s="58" t="s">
        <v>0</v>
      </c>
      <c r="G2329" s="35">
        <f>G2330</f>
        <v>31624.3</v>
      </c>
      <c r="H2329" s="35">
        <f t="shared" si="1100"/>
        <v>25140.310079999999</v>
      </c>
      <c r="I2329" s="35">
        <f t="shared" si="1100"/>
        <v>20968.75</v>
      </c>
      <c r="J2329" s="35">
        <f t="shared" si="1100"/>
        <v>20968.75</v>
      </c>
      <c r="K2329" s="35">
        <f t="shared" si="1100"/>
        <v>17489.22741</v>
      </c>
      <c r="L2329" s="35">
        <f t="shared" si="1077"/>
        <v>69.566474535703108</v>
      </c>
      <c r="M2329" s="35">
        <f t="shared" si="1078"/>
        <v>83.406151582712369</v>
      </c>
    </row>
    <row r="2330" spans="1:13" ht="25.5">
      <c r="A2330" s="59" t="s">
        <v>58</v>
      </c>
      <c r="B2330" s="28" t="s">
        <v>921</v>
      </c>
      <c r="C2330" s="28" t="s">
        <v>17</v>
      </c>
      <c r="D2330" s="28" t="s">
        <v>387</v>
      </c>
      <c r="E2330" s="28" t="s">
        <v>923</v>
      </c>
      <c r="F2330" s="58" t="s">
        <v>0</v>
      </c>
      <c r="G2330" s="35">
        <f>G2331+G2333+G2335</f>
        <v>31624.3</v>
      </c>
      <c r="H2330" s="35">
        <f t="shared" ref="H2330:K2330" si="1101">H2331+H2333+H2335</f>
        <v>25140.310079999999</v>
      </c>
      <c r="I2330" s="35">
        <f t="shared" si="1101"/>
        <v>20968.75</v>
      </c>
      <c r="J2330" s="35">
        <f t="shared" si="1101"/>
        <v>20968.75</v>
      </c>
      <c r="K2330" s="35">
        <f t="shared" si="1101"/>
        <v>17489.22741</v>
      </c>
      <c r="L2330" s="35">
        <f t="shared" si="1077"/>
        <v>69.566474535703108</v>
      </c>
      <c r="M2330" s="35">
        <f t="shared" si="1078"/>
        <v>83.406151582712369</v>
      </c>
    </row>
    <row r="2331" spans="1:13" ht="63.75">
      <c r="A2331" s="59" t="s">
        <v>60</v>
      </c>
      <c r="B2331" s="28" t="s">
        <v>921</v>
      </c>
      <c r="C2331" s="28" t="s">
        <v>17</v>
      </c>
      <c r="D2331" s="28" t="s">
        <v>387</v>
      </c>
      <c r="E2331" s="28" t="s">
        <v>923</v>
      </c>
      <c r="F2331" s="28" t="s">
        <v>61</v>
      </c>
      <c r="G2331" s="35">
        <f>G2332</f>
        <v>30789</v>
      </c>
      <c r="H2331" s="35">
        <f t="shared" ref="H2331:K2331" si="1102">H2332</f>
        <v>24420.76008</v>
      </c>
      <c r="I2331" s="35">
        <f t="shared" si="1102"/>
        <v>20327.5</v>
      </c>
      <c r="J2331" s="35">
        <f t="shared" si="1102"/>
        <v>20327.5</v>
      </c>
      <c r="K2331" s="35">
        <f t="shared" si="1102"/>
        <v>16985.187590000001</v>
      </c>
      <c r="L2331" s="35">
        <f t="shared" si="1077"/>
        <v>69.552247900385595</v>
      </c>
      <c r="M2331" s="35">
        <f t="shared" si="1078"/>
        <v>83.557680924855489</v>
      </c>
    </row>
    <row r="2332" spans="1:13" ht="25.5">
      <c r="A2332" s="59" t="s">
        <v>62</v>
      </c>
      <c r="B2332" s="28" t="s">
        <v>921</v>
      </c>
      <c r="C2332" s="28" t="s">
        <v>17</v>
      </c>
      <c r="D2332" s="28" t="s">
        <v>387</v>
      </c>
      <c r="E2332" s="28" t="s">
        <v>923</v>
      </c>
      <c r="F2332" s="28" t="s">
        <v>63</v>
      </c>
      <c r="G2332" s="35">
        <v>30789</v>
      </c>
      <c r="H2332" s="35">
        <f>18502.26903+1040+4878.49105</f>
        <v>24420.76008</v>
      </c>
      <c r="I2332" s="35">
        <f>15457.1+1040+3830.4</f>
        <v>20327.5</v>
      </c>
      <c r="J2332" s="35">
        <f>15457.1+1040+3830.4</f>
        <v>20327.5</v>
      </c>
      <c r="K2332" s="35">
        <f>12754.73709+997.01527+3233.43523</f>
        <v>16985.187590000001</v>
      </c>
      <c r="L2332" s="35">
        <f t="shared" si="1077"/>
        <v>69.552247900385595</v>
      </c>
      <c r="M2332" s="35">
        <f t="shared" si="1078"/>
        <v>83.557680924855489</v>
      </c>
    </row>
    <row r="2333" spans="1:13" ht="25.5">
      <c r="A2333" s="59" t="s">
        <v>64</v>
      </c>
      <c r="B2333" s="28" t="s">
        <v>921</v>
      </c>
      <c r="C2333" s="28" t="s">
        <v>17</v>
      </c>
      <c r="D2333" s="28" t="s">
        <v>387</v>
      </c>
      <c r="E2333" s="28" t="s">
        <v>923</v>
      </c>
      <c r="F2333" s="28" t="s">
        <v>65</v>
      </c>
      <c r="G2333" s="35">
        <f>G2334</f>
        <v>833.7</v>
      </c>
      <c r="H2333" s="35">
        <f t="shared" ref="H2333:K2333" si="1103">H2334</f>
        <v>717.95</v>
      </c>
      <c r="I2333" s="35">
        <f t="shared" si="1103"/>
        <v>640.04999999999995</v>
      </c>
      <c r="J2333" s="35">
        <f t="shared" si="1103"/>
        <v>640.04999999999995</v>
      </c>
      <c r="K2333" s="35">
        <f t="shared" si="1103"/>
        <v>503.47582</v>
      </c>
      <c r="L2333" s="35">
        <f t="shared" si="1077"/>
        <v>70.126863987742865</v>
      </c>
      <c r="M2333" s="35">
        <f t="shared" si="1078"/>
        <v>78.6619514100461</v>
      </c>
    </row>
    <row r="2334" spans="1:13" ht="25.5">
      <c r="A2334" s="59" t="s">
        <v>66</v>
      </c>
      <c r="B2334" s="28" t="s">
        <v>921</v>
      </c>
      <c r="C2334" s="28" t="s">
        <v>17</v>
      </c>
      <c r="D2334" s="28" t="s">
        <v>387</v>
      </c>
      <c r="E2334" s="28" t="s">
        <v>923</v>
      </c>
      <c r="F2334" s="28" t="s">
        <v>67</v>
      </c>
      <c r="G2334" s="35">
        <v>833.7</v>
      </c>
      <c r="H2334" s="35">
        <v>717.95</v>
      </c>
      <c r="I2334" s="35">
        <v>640.04999999999995</v>
      </c>
      <c r="J2334" s="35">
        <v>640.04999999999995</v>
      </c>
      <c r="K2334" s="35">
        <v>503.47582</v>
      </c>
      <c r="L2334" s="35">
        <f t="shared" si="1077"/>
        <v>70.126863987742865</v>
      </c>
      <c r="M2334" s="35">
        <f t="shared" si="1078"/>
        <v>78.6619514100461</v>
      </c>
    </row>
    <row r="2335" spans="1:13">
      <c r="A2335" s="59" t="s">
        <v>72</v>
      </c>
      <c r="B2335" s="28" t="s">
        <v>921</v>
      </c>
      <c r="C2335" s="28" t="s">
        <v>17</v>
      </c>
      <c r="D2335" s="28" t="s">
        <v>387</v>
      </c>
      <c r="E2335" s="28" t="s">
        <v>923</v>
      </c>
      <c r="F2335" s="28" t="s">
        <v>73</v>
      </c>
      <c r="G2335" s="35">
        <f>G2336</f>
        <v>1.6</v>
      </c>
      <c r="H2335" s="35">
        <f t="shared" ref="H2335:K2335" si="1104">H2336</f>
        <v>1.6</v>
      </c>
      <c r="I2335" s="35">
        <f t="shared" si="1104"/>
        <v>1.2</v>
      </c>
      <c r="J2335" s="35">
        <f t="shared" si="1104"/>
        <v>1.2</v>
      </c>
      <c r="K2335" s="35">
        <f t="shared" si="1104"/>
        <v>0.56399999999999995</v>
      </c>
      <c r="L2335" s="35">
        <f t="shared" si="1077"/>
        <v>35.249999999999993</v>
      </c>
      <c r="M2335" s="35">
        <f t="shared" si="1078"/>
        <v>47</v>
      </c>
    </row>
    <row r="2336" spans="1:13">
      <c r="A2336" s="59" t="s">
        <v>74</v>
      </c>
      <c r="B2336" s="28" t="s">
        <v>921</v>
      </c>
      <c r="C2336" s="28" t="s">
        <v>17</v>
      </c>
      <c r="D2336" s="28" t="s">
        <v>387</v>
      </c>
      <c r="E2336" s="28" t="s">
        <v>923</v>
      </c>
      <c r="F2336" s="28" t="s">
        <v>75</v>
      </c>
      <c r="G2336" s="35">
        <v>1.6</v>
      </c>
      <c r="H2336" s="35">
        <v>1.6</v>
      </c>
      <c r="I2336" s="35">
        <v>1.2</v>
      </c>
      <c r="J2336" s="35">
        <v>1.2</v>
      </c>
      <c r="K2336" s="35">
        <f>0.564</f>
        <v>0.56399999999999995</v>
      </c>
      <c r="L2336" s="35">
        <f t="shared" si="1077"/>
        <v>35.249999999999993</v>
      </c>
      <c r="M2336" s="35">
        <f t="shared" si="1078"/>
        <v>47</v>
      </c>
    </row>
    <row r="2337" spans="1:13" s="92" customFormat="1">
      <c r="A2337" s="59"/>
      <c r="B2337" s="28"/>
      <c r="C2337" s="28"/>
      <c r="D2337" s="28"/>
      <c r="E2337" s="28"/>
      <c r="F2337" s="28"/>
      <c r="G2337" s="35"/>
      <c r="H2337" s="35"/>
      <c r="I2337" s="35"/>
      <c r="J2337" s="35"/>
      <c r="K2337" s="35"/>
      <c r="L2337" s="35"/>
      <c r="M2337" s="35"/>
    </row>
    <row r="2338" spans="1:13" s="92" customFormat="1">
      <c r="A2338" s="62" t="s">
        <v>109</v>
      </c>
      <c r="B2338" s="28">
        <v>263</v>
      </c>
      <c r="C2338" s="67" t="s">
        <v>110</v>
      </c>
      <c r="D2338" s="28"/>
      <c r="E2338" s="28"/>
      <c r="F2338" s="28"/>
      <c r="G2338" s="35"/>
      <c r="H2338" s="35">
        <f>H2339</f>
        <v>288.83139</v>
      </c>
      <c r="I2338" s="35">
        <f t="shared" ref="I2338:K2342" si="1105">I2339</f>
        <v>288.83139</v>
      </c>
      <c r="J2338" s="35">
        <f t="shared" si="1105"/>
        <v>288.83139</v>
      </c>
      <c r="K2338" s="35">
        <f t="shared" si="1105"/>
        <v>90.831389999999999</v>
      </c>
      <c r="L2338" s="35">
        <f t="shared" si="1077"/>
        <v>31.447894219530642</v>
      </c>
      <c r="M2338" s="35">
        <f t="shared" si="1078"/>
        <v>31.447894219530642</v>
      </c>
    </row>
    <row r="2339" spans="1:13" s="92" customFormat="1">
      <c r="A2339" s="62" t="s">
        <v>119</v>
      </c>
      <c r="B2339" s="28">
        <v>263</v>
      </c>
      <c r="C2339" s="67" t="s">
        <v>110</v>
      </c>
      <c r="D2339" s="67" t="s">
        <v>106</v>
      </c>
      <c r="E2339" s="28"/>
      <c r="F2339" s="28"/>
      <c r="G2339" s="35"/>
      <c r="H2339" s="35">
        <f>H2340</f>
        <v>288.83139</v>
      </c>
      <c r="I2339" s="35">
        <f t="shared" si="1105"/>
        <v>288.83139</v>
      </c>
      <c r="J2339" s="35">
        <f t="shared" si="1105"/>
        <v>288.83139</v>
      </c>
      <c r="K2339" s="35">
        <f t="shared" si="1105"/>
        <v>90.831389999999999</v>
      </c>
      <c r="L2339" s="35">
        <f t="shared" ref="L2339:L2402" si="1106">K2339/H2339*100</f>
        <v>31.447894219530642</v>
      </c>
      <c r="M2339" s="35">
        <f t="shared" ref="M2339:M2402" si="1107">K2339/I2339*100</f>
        <v>31.447894219530642</v>
      </c>
    </row>
    <row r="2340" spans="1:13" s="92" customFormat="1" ht="24.75" customHeight="1">
      <c r="A2340" s="62" t="s">
        <v>612</v>
      </c>
      <c r="B2340" s="28">
        <v>263</v>
      </c>
      <c r="C2340" s="67" t="s">
        <v>110</v>
      </c>
      <c r="D2340" s="67" t="s">
        <v>106</v>
      </c>
      <c r="E2340" s="29" t="s">
        <v>613</v>
      </c>
      <c r="F2340" s="28"/>
      <c r="G2340" s="35"/>
      <c r="H2340" s="35">
        <f>H2341</f>
        <v>288.83139</v>
      </c>
      <c r="I2340" s="35">
        <f t="shared" si="1105"/>
        <v>288.83139</v>
      </c>
      <c r="J2340" s="35">
        <f t="shared" si="1105"/>
        <v>288.83139</v>
      </c>
      <c r="K2340" s="35">
        <f t="shared" si="1105"/>
        <v>90.831389999999999</v>
      </c>
      <c r="L2340" s="35">
        <f t="shared" si="1106"/>
        <v>31.447894219530642</v>
      </c>
      <c r="M2340" s="35">
        <f t="shared" si="1107"/>
        <v>31.447894219530642</v>
      </c>
    </row>
    <row r="2341" spans="1:13" s="92" customFormat="1" ht="28.5" customHeight="1">
      <c r="A2341" s="62" t="s">
        <v>612</v>
      </c>
      <c r="B2341" s="28">
        <v>263</v>
      </c>
      <c r="C2341" s="67" t="s">
        <v>110</v>
      </c>
      <c r="D2341" s="67" t="s">
        <v>106</v>
      </c>
      <c r="E2341" s="29" t="s">
        <v>614</v>
      </c>
      <c r="F2341" s="28"/>
      <c r="G2341" s="35"/>
      <c r="H2341" s="35">
        <f>H2342</f>
        <v>288.83139</v>
      </c>
      <c r="I2341" s="35">
        <f t="shared" si="1105"/>
        <v>288.83139</v>
      </c>
      <c r="J2341" s="35">
        <f t="shared" si="1105"/>
        <v>288.83139</v>
      </c>
      <c r="K2341" s="35">
        <f t="shared" si="1105"/>
        <v>90.831389999999999</v>
      </c>
      <c r="L2341" s="35">
        <f t="shared" si="1106"/>
        <v>31.447894219530642</v>
      </c>
      <c r="M2341" s="35">
        <f t="shared" si="1107"/>
        <v>31.447894219530642</v>
      </c>
    </row>
    <row r="2342" spans="1:13" s="92" customFormat="1" ht="16.5" customHeight="1">
      <c r="A2342" s="62" t="s">
        <v>26</v>
      </c>
      <c r="B2342" s="28">
        <v>263</v>
      </c>
      <c r="C2342" s="67" t="s">
        <v>110</v>
      </c>
      <c r="D2342" s="67" t="s">
        <v>106</v>
      </c>
      <c r="E2342" s="29" t="s">
        <v>614</v>
      </c>
      <c r="F2342" s="28">
        <v>500</v>
      </c>
      <c r="G2342" s="35"/>
      <c r="H2342" s="35">
        <f>H2343</f>
        <v>288.83139</v>
      </c>
      <c r="I2342" s="35">
        <f t="shared" si="1105"/>
        <v>288.83139</v>
      </c>
      <c r="J2342" s="35">
        <f t="shared" si="1105"/>
        <v>288.83139</v>
      </c>
      <c r="K2342" s="35">
        <f t="shared" si="1105"/>
        <v>90.831389999999999</v>
      </c>
      <c r="L2342" s="35">
        <f t="shared" si="1106"/>
        <v>31.447894219530642</v>
      </c>
      <c r="M2342" s="35">
        <f t="shared" si="1107"/>
        <v>31.447894219530642</v>
      </c>
    </row>
    <row r="2343" spans="1:13" s="92" customFormat="1">
      <c r="A2343" s="62" t="s">
        <v>352</v>
      </c>
      <c r="B2343" s="28">
        <v>263</v>
      </c>
      <c r="C2343" s="67" t="s">
        <v>110</v>
      </c>
      <c r="D2343" s="67" t="s">
        <v>106</v>
      </c>
      <c r="E2343" s="29" t="s">
        <v>614</v>
      </c>
      <c r="F2343" s="28">
        <v>540</v>
      </c>
      <c r="G2343" s="35"/>
      <c r="H2343" s="35">
        <v>288.83139</v>
      </c>
      <c r="I2343" s="35">
        <v>288.83139</v>
      </c>
      <c r="J2343" s="35">
        <v>288.83139</v>
      </c>
      <c r="K2343" s="35">
        <v>90.831389999999999</v>
      </c>
      <c r="L2343" s="35">
        <f t="shared" si="1106"/>
        <v>31.447894219530642</v>
      </c>
      <c r="M2343" s="35">
        <f t="shared" si="1107"/>
        <v>31.447894219530642</v>
      </c>
    </row>
    <row r="2344" spans="1:13">
      <c r="A2344" s="60" t="s">
        <v>0</v>
      </c>
      <c r="B2344" s="58" t="s">
        <v>0</v>
      </c>
      <c r="C2344" s="58" t="s">
        <v>0</v>
      </c>
      <c r="D2344" s="58" t="s">
        <v>0</v>
      </c>
      <c r="E2344" s="58" t="s">
        <v>0</v>
      </c>
      <c r="F2344" s="58" t="s">
        <v>0</v>
      </c>
      <c r="G2344" s="61" t="s">
        <v>0</v>
      </c>
      <c r="H2344" s="61"/>
      <c r="I2344" s="61"/>
      <c r="J2344" s="61"/>
      <c r="K2344" s="61"/>
      <c r="L2344" s="35"/>
      <c r="M2344" s="35"/>
    </row>
    <row r="2345" spans="1:13">
      <c r="A2345" s="59" t="s">
        <v>153</v>
      </c>
      <c r="B2345" s="28" t="s">
        <v>921</v>
      </c>
      <c r="C2345" s="28" t="s">
        <v>154</v>
      </c>
      <c r="D2345" s="58" t="s">
        <v>0</v>
      </c>
      <c r="E2345" s="58" t="s">
        <v>0</v>
      </c>
      <c r="F2345" s="58" t="s">
        <v>0</v>
      </c>
      <c r="G2345" s="35">
        <f>G2346+G2403</f>
        <v>425356.60000000003</v>
      </c>
      <c r="H2345" s="35">
        <f>H2346+H2403</f>
        <v>450253.03700000007</v>
      </c>
      <c r="I2345" s="35">
        <f>I2346+I2403</f>
        <v>355228.897</v>
      </c>
      <c r="J2345" s="35">
        <f>J2346+J2403</f>
        <v>353228.897</v>
      </c>
      <c r="K2345" s="35">
        <f>K2346+K2403</f>
        <v>345360.19628999999</v>
      </c>
      <c r="L2345" s="35">
        <f t="shared" si="1106"/>
        <v>76.70357952299608</v>
      </c>
      <c r="M2345" s="35">
        <f t="shared" si="1107"/>
        <v>97.221875586883911</v>
      </c>
    </row>
    <row r="2346" spans="1:13">
      <c r="A2346" s="59" t="s">
        <v>155</v>
      </c>
      <c r="B2346" s="28" t="s">
        <v>921</v>
      </c>
      <c r="C2346" s="28" t="s">
        <v>154</v>
      </c>
      <c r="D2346" s="28" t="s">
        <v>106</v>
      </c>
      <c r="E2346" s="58" t="s">
        <v>0</v>
      </c>
      <c r="F2346" s="58" t="s">
        <v>0</v>
      </c>
      <c r="G2346" s="35">
        <f>G2347+G2366</f>
        <v>46209</v>
      </c>
      <c r="H2346" s="35">
        <f>H2347+H2366+H2397</f>
        <v>74489.797000000006</v>
      </c>
      <c r="I2346" s="35">
        <f>I2347+I2366+I2397</f>
        <v>60183.057000000001</v>
      </c>
      <c r="J2346" s="35">
        <f>J2347+J2366+J2397</f>
        <v>58183.057000000001</v>
      </c>
      <c r="K2346" s="35">
        <f>K2347+K2366+K2397</f>
        <v>50318.756289999998</v>
      </c>
      <c r="L2346" s="35">
        <f t="shared" si="1106"/>
        <v>67.551206093366048</v>
      </c>
      <c r="M2346" s="35">
        <f t="shared" si="1107"/>
        <v>83.609505396178193</v>
      </c>
    </row>
    <row r="2347" spans="1:13" ht="38.25">
      <c r="A2347" s="59" t="s">
        <v>299</v>
      </c>
      <c r="B2347" s="28" t="s">
        <v>921</v>
      </c>
      <c r="C2347" s="28" t="s">
        <v>154</v>
      </c>
      <c r="D2347" s="28" t="s">
        <v>106</v>
      </c>
      <c r="E2347" s="28" t="s">
        <v>300</v>
      </c>
      <c r="F2347" s="58" t="s">
        <v>0</v>
      </c>
      <c r="G2347" s="35">
        <f>G2348+G2352</f>
        <v>1271.4000000000001</v>
      </c>
      <c r="H2347" s="35">
        <f t="shared" ref="H2347:K2347" si="1108">H2348+H2352</f>
        <v>2671.4</v>
      </c>
      <c r="I2347" s="35">
        <f t="shared" si="1108"/>
        <v>1271.4000000000001</v>
      </c>
      <c r="J2347" s="35">
        <f t="shared" si="1108"/>
        <v>1271.4000000000001</v>
      </c>
      <c r="K2347" s="35">
        <f t="shared" si="1108"/>
        <v>63</v>
      </c>
      <c r="L2347" s="35">
        <f t="shared" si="1106"/>
        <v>2.3583139926630232</v>
      </c>
      <c r="M2347" s="35">
        <f t="shared" si="1107"/>
        <v>4.9551675318546478</v>
      </c>
    </row>
    <row r="2348" spans="1:13" ht="38.25">
      <c r="A2348" s="59" t="s">
        <v>884</v>
      </c>
      <c r="B2348" s="28" t="s">
        <v>921</v>
      </c>
      <c r="C2348" s="28" t="s">
        <v>154</v>
      </c>
      <c r="D2348" s="28" t="s">
        <v>106</v>
      </c>
      <c r="E2348" s="28" t="s">
        <v>885</v>
      </c>
      <c r="F2348" s="58" t="s">
        <v>0</v>
      </c>
      <c r="G2348" s="35">
        <f>G2349</f>
        <v>126</v>
      </c>
      <c r="H2348" s="35">
        <f t="shared" ref="H2348:K2350" si="1109">H2349</f>
        <v>126</v>
      </c>
      <c r="I2348" s="35">
        <f t="shared" si="1109"/>
        <v>126</v>
      </c>
      <c r="J2348" s="35">
        <f t="shared" si="1109"/>
        <v>126</v>
      </c>
      <c r="K2348" s="35">
        <f t="shared" si="1109"/>
        <v>63</v>
      </c>
      <c r="L2348" s="35">
        <f t="shared" si="1106"/>
        <v>50</v>
      </c>
      <c r="M2348" s="35">
        <f t="shared" si="1107"/>
        <v>50</v>
      </c>
    </row>
    <row r="2349" spans="1:13">
      <c r="A2349" s="59" t="s">
        <v>924</v>
      </c>
      <c r="B2349" s="28" t="s">
        <v>921</v>
      </c>
      <c r="C2349" s="28" t="s">
        <v>154</v>
      </c>
      <c r="D2349" s="28" t="s">
        <v>106</v>
      </c>
      <c r="E2349" s="28" t="s">
        <v>925</v>
      </c>
      <c r="F2349" s="58" t="s">
        <v>0</v>
      </c>
      <c r="G2349" s="35">
        <f>G2350</f>
        <v>126</v>
      </c>
      <c r="H2349" s="35">
        <f t="shared" si="1109"/>
        <v>126</v>
      </c>
      <c r="I2349" s="35">
        <f t="shared" si="1109"/>
        <v>126</v>
      </c>
      <c r="J2349" s="35">
        <f t="shared" si="1109"/>
        <v>126</v>
      </c>
      <c r="K2349" s="35">
        <f t="shared" si="1109"/>
        <v>63</v>
      </c>
      <c r="L2349" s="35">
        <f t="shared" si="1106"/>
        <v>50</v>
      </c>
      <c r="M2349" s="35">
        <f t="shared" si="1107"/>
        <v>50</v>
      </c>
    </row>
    <row r="2350" spans="1:13" ht="25.5">
      <c r="A2350" s="59" t="s">
        <v>80</v>
      </c>
      <c r="B2350" s="28" t="s">
        <v>921</v>
      </c>
      <c r="C2350" s="28" t="s">
        <v>154</v>
      </c>
      <c r="D2350" s="28" t="s">
        <v>106</v>
      </c>
      <c r="E2350" s="28" t="s">
        <v>925</v>
      </c>
      <c r="F2350" s="28" t="s">
        <v>81</v>
      </c>
      <c r="G2350" s="35">
        <f>G2351</f>
        <v>126</v>
      </c>
      <c r="H2350" s="35">
        <f t="shared" si="1109"/>
        <v>126</v>
      </c>
      <c r="I2350" s="35">
        <f t="shared" si="1109"/>
        <v>126</v>
      </c>
      <c r="J2350" s="35">
        <f t="shared" si="1109"/>
        <v>126</v>
      </c>
      <c r="K2350" s="35">
        <f t="shared" si="1109"/>
        <v>63</v>
      </c>
      <c r="L2350" s="35">
        <f t="shared" si="1106"/>
        <v>50</v>
      </c>
      <c r="M2350" s="35">
        <f t="shared" si="1107"/>
        <v>50</v>
      </c>
    </row>
    <row r="2351" spans="1:13">
      <c r="A2351" s="59" t="s">
        <v>82</v>
      </c>
      <c r="B2351" s="28" t="s">
        <v>921</v>
      </c>
      <c r="C2351" s="28" t="s">
        <v>154</v>
      </c>
      <c r="D2351" s="28" t="s">
        <v>106</v>
      </c>
      <c r="E2351" s="28" t="s">
        <v>925</v>
      </c>
      <c r="F2351" s="28" t="s">
        <v>83</v>
      </c>
      <c r="G2351" s="35">
        <v>126</v>
      </c>
      <c r="H2351" s="35">
        <v>126</v>
      </c>
      <c r="I2351" s="35">
        <v>126</v>
      </c>
      <c r="J2351" s="35">
        <v>126</v>
      </c>
      <c r="K2351" s="35">
        <v>63</v>
      </c>
      <c r="L2351" s="35">
        <f t="shared" si="1106"/>
        <v>50</v>
      </c>
      <c r="M2351" s="35">
        <f t="shared" si="1107"/>
        <v>50</v>
      </c>
    </row>
    <row r="2352" spans="1:13">
      <c r="A2352" s="59" t="s">
        <v>301</v>
      </c>
      <c r="B2352" s="28" t="s">
        <v>921</v>
      </c>
      <c r="C2352" s="28" t="s">
        <v>154</v>
      </c>
      <c r="D2352" s="28" t="s">
        <v>106</v>
      </c>
      <c r="E2352" s="28" t="s">
        <v>302</v>
      </c>
      <c r="F2352" s="58" t="s">
        <v>0</v>
      </c>
      <c r="G2352" s="35">
        <f>G2358</f>
        <v>1145.4000000000001</v>
      </c>
      <c r="H2352" s="35">
        <f>H2358+H2353+H2361</f>
        <v>2545.4</v>
      </c>
      <c r="I2352" s="35">
        <f t="shared" ref="I2352:K2352" si="1110">I2358+I2353+I2361</f>
        <v>1145.4000000000001</v>
      </c>
      <c r="J2352" s="35">
        <f t="shared" si="1110"/>
        <v>1145.4000000000001</v>
      </c>
      <c r="K2352" s="35">
        <f t="shared" si="1110"/>
        <v>0</v>
      </c>
      <c r="L2352" s="35">
        <f t="shared" si="1106"/>
        <v>0</v>
      </c>
      <c r="M2352" s="35">
        <f t="shared" si="1107"/>
        <v>0</v>
      </c>
    </row>
    <row r="2353" spans="1:13" s="92" customFormat="1" ht="45.75" customHeight="1">
      <c r="A2353" s="59" t="s">
        <v>1257</v>
      </c>
      <c r="B2353" s="28" t="s">
        <v>921</v>
      </c>
      <c r="C2353" s="28" t="s">
        <v>154</v>
      </c>
      <c r="D2353" s="28" t="s">
        <v>106</v>
      </c>
      <c r="E2353" s="29" t="s">
        <v>1256</v>
      </c>
      <c r="F2353" s="58"/>
      <c r="G2353" s="35"/>
      <c r="H2353" s="35">
        <f>H2354+H2356</f>
        <v>1400</v>
      </c>
      <c r="I2353" s="35">
        <f t="shared" ref="I2353:K2353" si="1111">I2354+I2356</f>
        <v>0</v>
      </c>
      <c r="J2353" s="35">
        <f t="shared" si="1111"/>
        <v>0</v>
      </c>
      <c r="K2353" s="35">
        <f t="shared" si="1111"/>
        <v>0</v>
      </c>
      <c r="L2353" s="35">
        <f t="shared" si="1106"/>
        <v>0</v>
      </c>
      <c r="M2353" s="35">
        <v>0</v>
      </c>
    </row>
    <row r="2354" spans="1:13" s="92" customFormat="1">
      <c r="A2354" s="62" t="s">
        <v>26</v>
      </c>
      <c r="B2354" s="28" t="s">
        <v>921</v>
      </c>
      <c r="C2354" s="28" t="s">
        <v>154</v>
      </c>
      <c r="D2354" s="28" t="s">
        <v>106</v>
      </c>
      <c r="E2354" s="29" t="s">
        <v>1256</v>
      </c>
      <c r="F2354" s="58">
        <v>500</v>
      </c>
      <c r="G2354" s="35"/>
      <c r="H2354" s="35">
        <f>H2355</f>
        <v>1000</v>
      </c>
      <c r="I2354" s="35">
        <f t="shared" ref="I2354:K2354" si="1112">I2355</f>
        <v>0</v>
      </c>
      <c r="J2354" s="35">
        <f t="shared" si="1112"/>
        <v>0</v>
      </c>
      <c r="K2354" s="35">
        <f t="shared" si="1112"/>
        <v>0</v>
      </c>
      <c r="L2354" s="35">
        <f t="shared" si="1106"/>
        <v>0</v>
      </c>
      <c r="M2354" s="35">
        <v>0</v>
      </c>
    </row>
    <row r="2355" spans="1:13" s="92" customFormat="1">
      <c r="A2355" s="62" t="s">
        <v>56</v>
      </c>
      <c r="B2355" s="28" t="s">
        <v>921</v>
      </c>
      <c r="C2355" s="28" t="s">
        <v>154</v>
      </c>
      <c r="D2355" s="28" t="s">
        <v>106</v>
      </c>
      <c r="E2355" s="29" t="s">
        <v>1256</v>
      </c>
      <c r="F2355" s="58">
        <v>520</v>
      </c>
      <c r="G2355" s="35"/>
      <c r="H2355" s="35">
        <v>1000</v>
      </c>
      <c r="I2355" s="35">
        <v>0</v>
      </c>
      <c r="J2355" s="35">
        <v>0</v>
      </c>
      <c r="K2355" s="35">
        <v>0</v>
      </c>
      <c r="L2355" s="35">
        <f t="shared" si="1106"/>
        <v>0</v>
      </c>
      <c r="M2355" s="35">
        <v>0</v>
      </c>
    </row>
    <row r="2356" spans="1:13" s="92" customFormat="1" ht="25.5">
      <c r="A2356" s="59" t="s">
        <v>80</v>
      </c>
      <c r="B2356" s="28" t="s">
        <v>921</v>
      </c>
      <c r="C2356" s="28" t="s">
        <v>154</v>
      </c>
      <c r="D2356" s="28" t="s">
        <v>106</v>
      </c>
      <c r="E2356" s="29" t="s">
        <v>1256</v>
      </c>
      <c r="F2356" s="28">
        <v>600</v>
      </c>
      <c r="G2356" s="35"/>
      <c r="H2356" s="35">
        <f>H2357</f>
        <v>400</v>
      </c>
      <c r="I2356" s="35">
        <f t="shared" ref="I2356:K2356" si="1113">I2357</f>
        <v>0</v>
      </c>
      <c r="J2356" s="35">
        <f t="shared" si="1113"/>
        <v>0</v>
      </c>
      <c r="K2356" s="35">
        <f t="shared" si="1113"/>
        <v>0</v>
      </c>
      <c r="L2356" s="35">
        <f t="shared" si="1106"/>
        <v>0</v>
      </c>
      <c r="M2356" s="35">
        <v>0</v>
      </c>
    </row>
    <row r="2357" spans="1:13" s="92" customFormat="1">
      <c r="A2357" s="59" t="s">
        <v>82</v>
      </c>
      <c r="B2357" s="28" t="s">
        <v>921</v>
      </c>
      <c r="C2357" s="28" t="s">
        <v>154</v>
      </c>
      <c r="D2357" s="28" t="s">
        <v>106</v>
      </c>
      <c r="E2357" s="29" t="s">
        <v>1256</v>
      </c>
      <c r="F2357" s="28">
        <v>620</v>
      </c>
      <c r="G2357" s="35"/>
      <c r="H2357" s="35">
        <v>400</v>
      </c>
      <c r="I2357" s="35">
        <v>0</v>
      </c>
      <c r="J2357" s="35">
        <v>0</v>
      </c>
      <c r="K2357" s="35">
        <v>0</v>
      </c>
      <c r="L2357" s="35">
        <f t="shared" si="1106"/>
        <v>0</v>
      </c>
      <c r="M2357" s="35">
        <v>0</v>
      </c>
    </row>
    <row r="2358" spans="1:13" ht="25.5">
      <c r="A2358" s="59" t="s">
        <v>76</v>
      </c>
      <c r="B2358" s="28" t="s">
        <v>921</v>
      </c>
      <c r="C2358" s="28" t="s">
        <v>154</v>
      </c>
      <c r="D2358" s="28" t="s">
        <v>106</v>
      </c>
      <c r="E2358" s="28" t="s">
        <v>356</v>
      </c>
      <c r="F2358" s="58" t="s">
        <v>0</v>
      </c>
      <c r="G2358" s="35">
        <f>G2359</f>
        <v>1145.4000000000001</v>
      </c>
      <c r="H2358" s="35">
        <f>H2359</f>
        <v>0</v>
      </c>
      <c r="I2358" s="35">
        <f>I2359</f>
        <v>0</v>
      </c>
      <c r="J2358" s="35">
        <f>J2359</f>
        <v>0</v>
      </c>
      <c r="K2358" s="35">
        <f>K2359</f>
        <v>0</v>
      </c>
      <c r="L2358" s="35">
        <v>0</v>
      </c>
      <c r="M2358" s="35">
        <v>0</v>
      </c>
    </row>
    <row r="2359" spans="1:13" ht="25.5">
      <c r="A2359" s="59" t="s">
        <v>80</v>
      </c>
      <c r="B2359" s="28" t="s">
        <v>921</v>
      </c>
      <c r="C2359" s="28" t="s">
        <v>154</v>
      </c>
      <c r="D2359" s="28" t="s">
        <v>106</v>
      </c>
      <c r="E2359" s="28" t="s">
        <v>356</v>
      </c>
      <c r="F2359" s="28" t="s">
        <v>81</v>
      </c>
      <c r="G2359" s="35">
        <f>G2360</f>
        <v>1145.4000000000001</v>
      </c>
      <c r="H2359" s="35">
        <f t="shared" ref="H2359:K2359" si="1114">H2360</f>
        <v>0</v>
      </c>
      <c r="I2359" s="35">
        <f t="shared" si="1114"/>
        <v>0</v>
      </c>
      <c r="J2359" s="35">
        <f t="shared" si="1114"/>
        <v>0</v>
      </c>
      <c r="K2359" s="35">
        <f t="shared" si="1114"/>
        <v>0</v>
      </c>
      <c r="L2359" s="35">
        <v>0</v>
      </c>
      <c r="M2359" s="35">
        <v>0</v>
      </c>
    </row>
    <row r="2360" spans="1:13">
      <c r="A2360" s="59" t="s">
        <v>82</v>
      </c>
      <c r="B2360" s="28" t="s">
        <v>921</v>
      </c>
      <c r="C2360" s="28" t="s">
        <v>154</v>
      </c>
      <c r="D2360" s="28" t="s">
        <v>106</v>
      </c>
      <c r="E2360" s="28" t="s">
        <v>356</v>
      </c>
      <c r="F2360" s="28" t="s">
        <v>83</v>
      </c>
      <c r="G2360" s="35">
        <v>1145.4000000000001</v>
      </c>
      <c r="H2360" s="35">
        <v>0</v>
      </c>
      <c r="I2360" s="35">
        <v>0</v>
      </c>
      <c r="J2360" s="35">
        <v>0</v>
      </c>
      <c r="K2360" s="35">
        <v>0</v>
      </c>
      <c r="L2360" s="35">
        <v>0</v>
      </c>
      <c r="M2360" s="35">
        <v>0</v>
      </c>
    </row>
    <row r="2361" spans="1:13" s="92" customFormat="1" ht="38.25">
      <c r="A2361" s="62" t="s">
        <v>1243</v>
      </c>
      <c r="B2361" s="28" t="s">
        <v>921</v>
      </c>
      <c r="C2361" s="28" t="s">
        <v>154</v>
      </c>
      <c r="D2361" s="28" t="s">
        <v>106</v>
      </c>
      <c r="E2361" s="29" t="s">
        <v>1115</v>
      </c>
      <c r="F2361" s="28"/>
      <c r="G2361" s="35"/>
      <c r="H2361" s="35">
        <f>H2362+H2364</f>
        <v>1145.4000000000001</v>
      </c>
      <c r="I2361" s="35">
        <f t="shared" ref="I2361:K2361" si="1115">I2362+I2364</f>
        <v>1145.4000000000001</v>
      </c>
      <c r="J2361" s="35">
        <f t="shared" si="1115"/>
        <v>1145.4000000000001</v>
      </c>
      <c r="K2361" s="35">
        <f t="shared" si="1115"/>
        <v>0</v>
      </c>
      <c r="L2361" s="35">
        <f t="shared" si="1106"/>
        <v>0</v>
      </c>
      <c r="M2361" s="35">
        <f t="shared" si="1107"/>
        <v>0</v>
      </c>
    </row>
    <row r="2362" spans="1:13" s="92" customFormat="1">
      <c r="A2362" s="62" t="s">
        <v>26</v>
      </c>
      <c r="B2362" s="28" t="s">
        <v>921</v>
      </c>
      <c r="C2362" s="28" t="s">
        <v>154</v>
      </c>
      <c r="D2362" s="28" t="s">
        <v>106</v>
      </c>
      <c r="E2362" s="29" t="s">
        <v>1115</v>
      </c>
      <c r="F2362" s="58">
        <v>500</v>
      </c>
      <c r="G2362" s="35"/>
      <c r="H2362" s="35">
        <f>H2363</f>
        <v>800</v>
      </c>
      <c r="I2362" s="35">
        <f t="shared" ref="I2362:K2362" si="1116">I2363</f>
        <v>800</v>
      </c>
      <c r="J2362" s="35">
        <f t="shared" si="1116"/>
        <v>800</v>
      </c>
      <c r="K2362" s="35">
        <f t="shared" si="1116"/>
        <v>0</v>
      </c>
      <c r="L2362" s="35">
        <f t="shared" si="1106"/>
        <v>0</v>
      </c>
      <c r="M2362" s="35">
        <f t="shared" si="1107"/>
        <v>0</v>
      </c>
    </row>
    <row r="2363" spans="1:13" s="92" customFormat="1">
      <c r="A2363" s="62" t="s">
        <v>56</v>
      </c>
      <c r="B2363" s="28" t="s">
        <v>921</v>
      </c>
      <c r="C2363" s="28" t="s">
        <v>154</v>
      </c>
      <c r="D2363" s="28" t="s">
        <v>106</v>
      </c>
      <c r="E2363" s="29" t="s">
        <v>1115</v>
      </c>
      <c r="F2363" s="58">
        <v>520</v>
      </c>
      <c r="G2363" s="35"/>
      <c r="H2363" s="35">
        <v>800</v>
      </c>
      <c r="I2363" s="35">
        <v>800</v>
      </c>
      <c r="J2363" s="35">
        <v>800</v>
      </c>
      <c r="K2363" s="35">
        <v>0</v>
      </c>
      <c r="L2363" s="35">
        <f t="shared" si="1106"/>
        <v>0</v>
      </c>
      <c r="M2363" s="35">
        <f t="shared" si="1107"/>
        <v>0</v>
      </c>
    </row>
    <row r="2364" spans="1:13" s="92" customFormat="1" ht="25.5">
      <c r="A2364" s="59" t="s">
        <v>80</v>
      </c>
      <c r="B2364" s="28" t="s">
        <v>921</v>
      </c>
      <c r="C2364" s="28" t="s">
        <v>154</v>
      </c>
      <c r="D2364" s="28" t="s">
        <v>106</v>
      </c>
      <c r="E2364" s="29" t="s">
        <v>1115</v>
      </c>
      <c r="F2364" s="28">
        <v>600</v>
      </c>
      <c r="G2364" s="35"/>
      <c r="H2364" s="35">
        <f>H2365</f>
        <v>345.4</v>
      </c>
      <c r="I2364" s="35">
        <f t="shared" ref="I2364:K2364" si="1117">I2365</f>
        <v>345.4</v>
      </c>
      <c r="J2364" s="35">
        <f t="shared" si="1117"/>
        <v>345.4</v>
      </c>
      <c r="K2364" s="35">
        <f t="shared" si="1117"/>
        <v>0</v>
      </c>
      <c r="L2364" s="35">
        <f t="shared" si="1106"/>
        <v>0</v>
      </c>
      <c r="M2364" s="35">
        <f t="shared" si="1107"/>
        <v>0</v>
      </c>
    </row>
    <row r="2365" spans="1:13" s="92" customFormat="1">
      <c r="A2365" s="59" t="s">
        <v>82</v>
      </c>
      <c r="B2365" s="28" t="s">
        <v>921</v>
      </c>
      <c r="C2365" s="28" t="s">
        <v>154</v>
      </c>
      <c r="D2365" s="28" t="s">
        <v>106</v>
      </c>
      <c r="E2365" s="29" t="s">
        <v>1115</v>
      </c>
      <c r="F2365" s="28">
        <v>620</v>
      </c>
      <c r="G2365" s="35"/>
      <c r="H2365" s="35">
        <v>345.4</v>
      </c>
      <c r="I2365" s="35">
        <v>345.4</v>
      </c>
      <c r="J2365" s="35">
        <v>345.4</v>
      </c>
      <c r="K2365" s="35">
        <v>0</v>
      </c>
      <c r="L2365" s="35">
        <f t="shared" si="1106"/>
        <v>0</v>
      </c>
      <c r="M2365" s="35">
        <f t="shared" si="1107"/>
        <v>0</v>
      </c>
    </row>
    <row r="2366" spans="1:13" ht="63.75">
      <c r="A2366" s="59" t="s">
        <v>156</v>
      </c>
      <c r="B2366" s="28" t="s">
        <v>921</v>
      </c>
      <c r="C2366" s="28" t="s">
        <v>154</v>
      </c>
      <c r="D2366" s="28" t="s">
        <v>106</v>
      </c>
      <c r="E2366" s="28" t="s">
        <v>157</v>
      </c>
      <c r="F2366" s="58" t="s">
        <v>0</v>
      </c>
      <c r="G2366" s="35">
        <f>G2367+G2374</f>
        <v>44937.599999999999</v>
      </c>
      <c r="H2366" s="35">
        <f t="shared" ref="H2366:K2366" si="1118">H2367</f>
        <v>61804.3</v>
      </c>
      <c r="I2366" s="35">
        <f t="shared" si="1118"/>
        <v>48897.56</v>
      </c>
      <c r="J2366" s="35">
        <f t="shared" si="1118"/>
        <v>46897.56</v>
      </c>
      <c r="K2366" s="35">
        <f t="shared" si="1118"/>
        <v>40255.379289999997</v>
      </c>
      <c r="L2366" s="35">
        <f t="shared" si="1106"/>
        <v>65.133622239876516</v>
      </c>
      <c r="M2366" s="35">
        <f t="shared" si="1107"/>
        <v>82.325946918414743</v>
      </c>
    </row>
    <row r="2367" spans="1:13">
      <c r="A2367" s="59" t="s">
        <v>158</v>
      </c>
      <c r="B2367" s="28" t="s">
        <v>921</v>
      </c>
      <c r="C2367" s="28" t="s">
        <v>154</v>
      </c>
      <c r="D2367" s="28" t="s">
        <v>106</v>
      </c>
      <c r="E2367" s="28" t="s">
        <v>159</v>
      </c>
      <c r="F2367" s="58" t="s">
        <v>0</v>
      </c>
      <c r="G2367" s="35">
        <f>G2371+G2377+G2385</f>
        <v>24580.1</v>
      </c>
      <c r="H2367" s="35">
        <f>H2371+H2377+H2385+H2374+H2388+H2391+H2394+H2368</f>
        <v>61804.3</v>
      </c>
      <c r="I2367" s="35">
        <f t="shared" ref="I2367:K2367" si="1119">I2371+I2377+I2385+I2374+I2388+I2391+I2394+I2368</f>
        <v>48897.56</v>
      </c>
      <c r="J2367" s="35">
        <f t="shared" si="1119"/>
        <v>46897.56</v>
      </c>
      <c r="K2367" s="35">
        <f t="shared" si="1119"/>
        <v>40255.379289999997</v>
      </c>
      <c r="L2367" s="35">
        <f t="shared" si="1106"/>
        <v>65.133622239876516</v>
      </c>
      <c r="M2367" s="35">
        <f t="shared" si="1107"/>
        <v>82.325946918414743</v>
      </c>
    </row>
    <row r="2368" spans="1:13" s="92" customFormat="1" ht="38.25">
      <c r="A2368" s="59" t="s">
        <v>1257</v>
      </c>
      <c r="B2368" s="28" t="s">
        <v>921</v>
      </c>
      <c r="C2368" s="28" t="s">
        <v>154</v>
      </c>
      <c r="D2368" s="28" t="s">
        <v>106</v>
      </c>
      <c r="E2368" s="29" t="s">
        <v>1273</v>
      </c>
      <c r="F2368" s="58"/>
      <c r="G2368" s="35"/>
      <c r="H2368" s="35">
        <f>H2369</f>
        <v>11666.7</v>
      </c>
      <c r="I2368" s="35">
        <f t="shared" ref="I2368:K2369" si="1120">I2369</f>
        <v>6009.96</v>
      </c>
      <c r="J2368" s="35">
        <f t="shared" si="1120"/>
        <v>6009.96</v>
      </c>
      <c r="K2368" s="35">
        <f t="shared" si="1120"/>
        <v>6009.96</v>
      </c>
      <c r="L2368" s="35">
        <f t="shared" si="1106"/>
        <v>51.513795674869499</v>
      </c>
      <c r="M2368" s="35">
        <f t="shared" si="1107"/>
        <v>100</v>
      </c>
    </row>
    <row r="2369" spans="1:13" s="92" customFormat="1" ht="25.5">
      <c r="A2369" s="59" t="s">
        <v>80</v>
      </c>
      <c r="B2369" s="28" t="s">
        <v>921</v>
      </c>
      <c r="C2369" s="28" t="s">
        <v>154</v>
      </c>
      <c r="D2369" s="28" t="s">
        <v>106</v>
      </c>
      <c r="E2369" s="29" t="s">
        <v>1273</v>
      </c>
      <c r="F2369" s="28">
        <v>600</v>
      </c>
      <c r="G2369" s="35"/>
      <c r="H2369" s="35">
        <f>H2370</f>
        <v>11666.7</v>
      </c>
      <c r="I2369" s="35">
        <f t="shared" si="1120"/>
        <v>6009.96</v>
      </c>
      <c r="J2369" s="35">
        <f t="shared" si="1120"/>
        <v>6009.96</v>
      </c>
      <c r="K2369" s="35">
        <f t="shared" si="1120"/>
        <v>6009.96</v>
      </c>
      <c r="L2369" s="35">
        <f t="shared" si="1106"/>
        <v>51.513795674869499</v>
      </c>
      <c r="M2369" s="35">
        <f t="shared" si="1107"/>
        <v>100</v>
      </c>
    </row>
    <row r="2370" spans="1:13" s="92" customFormat="1">
      <c r="A2370" s="59" t="s">
        <v>82</v>
      </c>
      <c r="B2370" s="28" t="s">
        <v>921</v>
      </c>
      <c r="C2370" s="28" t="s">
        <v>154</v>
      </c>
      <c r="D2370" s="28" t="s">
        <v>106</v>
      </c>
      <c r="E2370" s="29" t="s">
        <v>1273</v>
      </c>
      <c r="F2370" s="28">
        <v>620</v>
      </c>
      <c r="G2370" s="35"/>
      <c r="H2370" s="35">
        <v>11666.7</v>
      </c>
      <c r="I2370" s="35">
        <v>6009.96</v>
      </c>
      <c r="J2370" s="35">
        <v>6009.96</v>
      </c>
      <c r="K2370" s="35">
        <v>6009.96</v>
      </c>
      <c r="L2370" s="35">
        <f t="shared" si="1106"/>
        <v>51.513795674869499</v>
      </c>
      <c r="M2370" s="35">
        <f t="shared" si="1107"/>
        <v>100</v>
      </c>
    </row>
    <row r="2371" spans="1:13" ht="38.25">
      <c r="A2371" s="59" t="s">
        <v>926</v>
      </c>
      <c r="B2371" s="28" t="s">
        <v>921</v>
      </c>
      <c r="C2371" s="28" t="s">
        <v>154</v>
      </c>
      <c r="D2371" s="28" t="s">
        <v>106</v>
      </c>
      <c r="E2371" s="28" t="s">
        <v>927</v>
      </c>
      <c r="F2371" s="58" t="s">
        <v>0</v>
      </c>
      <c r="G2371" s="35">
        <f>G2372</f>
        <v>1680.1</v>
      </c>
      <c r="H2371" s="35">
        <f t="shared" ref="H2371:K2372" si="1121">H2372</f>
        <v>1680.1</v>
      </c>
      <c r="I2371" s="35">
        <f t="shared" si="1121"/>
        <v>1680.1</v>
      </c>
      <c r="J2371" s="35">
        <f t="shared" si="1121"/>
        <v>1680.1</v>
      </c>
      <c r="K2371" s="35">
        <f t="shared" si="1121"/>
        <v>1680.1</v>
      </c>
      <c r="L2371" s="35">
        <f t="shared" si="1106"/>
        <v>100</v>
      </c>
      <c r="M2371" s="35">
        <f t="shared" si="1107"/>
        <v>100</v>
      </c>
    </row>
    <row r="2372" spans="1:13" ht="25.5">
      <c r="A2372" s="59" t="s">
        <v>80</v>
      </c>
      <c r="B2372" s="28" t="s">
        <v>921</v>
      </c>
      <c r="C2372" s="28" t="s">
        <v>154</v>
      </c>
      <c r="D2372" s="28" t="s">
        <v>106</v>
      </c>
      <c r="E2372" s="28" t="s">
        <v>927</v>
      </c>
      <c r="F2372" s="28" t="s">
        <v>81</v>
      </c>
      <c r="G2372" s="35">
        <f>G2373</f>
        <v>1680.1</v>
      </c>
      <c r="H2372" s="35">
        <f t="shared" si="1121"/>
        <v>1680.1</v>
      </c>
      <c r="I2372" s="35">
        <f t="shared" si="1121"/>
        <v>1680.1</v>
      </c>
      <c r="J2372" s="35">
        <f t="shared" si="1121"/>
        <v>1680.1</v>
      </c>
      <c r="K2372" s="35">
        <f t="shared" si="1121"/>
        <v>1680.1</v>
      </c>
      <c r="L2372" s="35">
        <f t="shared" si="1106"/>
        <v>100</v>
      </c>
      <c r="M2372" s="35">
        <f t="shared" si="1107"/>
        <v>100</v>
      </c>
    </row>
    <row r="2373" spans="1:13">
      <c r="A2373" s="59" t="s">
        <v>82</v>
      </c>
      <c r="B2373" s="28" t="s">
        <v>921</v>
      </c>
      <c r="C2373" s="28" t="s">
        <v>154</v>
      </c>
      <c r="D2373" s="28" t="s">
        <v>106</v>
      </c>
      <c r="E2373" s="28" t="s">
        <v>927</v>
      </c>
      <c r="F2373" s="28" t="s">
        <v>83</v>
      </c>
      <c r="G2373" s="35">
        <v>1680.1</v>
      </c>
      <c r="H2373" s="35">
        <v>1680.1</v>
      </c>
      <c r="I2373" s="35">
        <v>1680.1</v>
      </c>
      <c r="J2373" s="35">
        <v>1680.1</v>
      </c>
      <c r="K2373" s="35">
        <v>1680.1</v>
      </c>
      <c r="L2373" s="35">
        <f t="shared" si="1106"/>
        <v>100</v>
      </c>
      <c r="M2373" s="35">
        <f t="shared" si="1107"/>
        <v>100</v>
      </c>
    </row>
    <row r="2374" spans="1:13" ht="38.25">
      <c r="A2374" s="62" t="s">
        <v>1184</v>
      </c>
      <c r="B2374" s="28" t="s">
        <v>921</v>
      </c>
      <c r="C2374" s="28" t="s">
        <v>154</v>
      </c>
      <c r="D2374" s="28" t="s">
        <v>106</v>
      </c>
      <c r="E2374" s="29" t="s">
        <v>1183</v>
      </c>
      <c r="F2374" s="28"/>
      <c r="G2374" s="35">
        <f>G2375</f>
        <v>20357.5</v>
      </c>
      <c r="H2374" s="35">
        <f t="shared" ref="H2374:K2375" si="1122">H2375</f>
        <v>20357.5</v>
      </c>
      <c r="I2374" s="35">
        <f t="shared" si="1122"/>
        <v>14057.5</v>
      </c>
      <c r="J2374" s="35">
        <f t="shared" si="1122"/>
        <v>14057.5</v>
      </c>
      <c r="K2374" s="35">
        <f t="shared" si="1122"/>
        <v>14057.5</v>
      </c>
      <c r="L2374" s="35">
        <f t="shared" si="1106"/>
        <v>69.05317450571043</v>
      </c>
      <c r="M2374" s="35">
        <f t="shared" si="1107"/>
        <v>100</v>
      </c>
    </row>
    <row r="2375" spans="1:13">
      <c r="A2375" s="62" t="s">
        <v>26</v>
      </c>
      <c r="B2375" s="28" t="s">
        <v>921</v>
      </c>
      <c r="C2375" s="28" t="s">
        <v>154</v>
      </c>
      <c r="D2375" s="28" t="s">
        <v>106</v>
      </c>
      <c r="E2375" s="29" t="s">
        <v>1183</v>
      </c>
      <c r="F2375" s="28">
        <v>500</v>
      </c>
      <c r="G2375" s="35">
        <f>G2376</f>
        <v>20357.5</v>
      </c>
      <c r="H2375" s="35">
        <f t="shared" si="1122"/>
        <v>20357.5</v>
      </c>
      <c r="I2375" s="35">
        <f t="shared" si="1122"/>
        <v>14057.5</v>
      </c>
      <c r="J2375" s="35">
        <f t="shared" si="1122"/>
        <v>14057.5</v>
      </c>
      <c r="K2375" s="35">
        <f t="shared" si="1122"/>
        <v>14057.5</v>
      </c>
      <c r="L2375" s="35">
        <f t="shared" si="1106"/>
        <v>69.05317450571043</v>
      </c>
      <c r="M2375" s="35">
        <f t="shared" si="1107"/>
        <v>100</v>
      </c>
    </row>
    <row r="2376" spans="1:13">
      <c r="A2376" s="62" t="s">
        <v>56</v>
      </c>
      <c r="B2376" s="28" t="s">
        <v>921</v>
      </c>
      <c r="C2376" s="28" t="s">
        <v>154</v>
      </c>
      <c r="D2376" s="28" t="s">
        <v>106</v>
      </c>
      <c r="E2376" s="29" t="s">
        <v>1183</v>
      </c>
      <c r="F2376" s="28">
        <v>520</v>
      </c>
      <c r="G2376" s="35">
        <v>20357.5</v>
      </c>
      <c r="H2376" s="35">
        <v>20357.5</v>
      </c>
      <c r="I2376" s="35">
        <v>14057.5</v>
      </c>
      <c r="J2376" s="63">
        <v>14057.5</v>
      </c>
      <c r="K2376" s="35">
        <v>14057.5</v>
      </c>
      <c r="L2376" s="35">
        <f t="shared" si="1106"/>
        <v>69.05317450571043</v>
      </c>
      <c r="M2376" s="35">
        <f t="shared" si="1107"/>
        <v>100</v>
      </c>
    </row>
    <row r="2377" spans="1:13">
      <c r="A2377" s="59" t="s">
        <v>924</v>
      </c>
      <c r="B2377" s="28" t="s">
        <v>921</v>
      </c>
      <c r="C2377" s="28" t="s">
        <v>154</v>
      </c>
      <c r="D2377" s="28" t="s">
        <v>106</v>
      </c>
      <c r="E2377" s="28" t="s">
        <v>928</v>
      </c>
      <c r="F2377" s="58" t="s">
        <v>0</v>
      </c>
      <c r="G2377" s="35">
        <f>G2378+G2380</f>
        <v>2000</v>
      </c>
      <c r="H2377" s="35">
        <f>H2378+H2380+H2383</f>
        <v>2000</v>
      </c>
      <c r="I2377" s="35">
        <f t="shared" ref="I2377:K2377" si="1123">I2378+I2380+I2383</f>
        <v>1500</v>
      </c>
      <c r="J2377" s="35">
        <f t="shared" si="1123"/>
        <v>1500</v>
      </c>
      <c r="K2377" s="35">
        <f t="shared" si="1123"/>
        <v>1500</v>
      </c>
      <c r="L2377" s="35">
        <f t="shared" si="1106"/>
        <v>75</v>
      </c>
      <c r="M2377" s="35">
        <f t="shared" si="1107"/>
        <v>100</v>
      </c>
    </row>
    <row r="2378" spans="1:13">
      <c r="A2378" s="59" t="s">
        <v>68</v>
      </c>
      <c r="B2378" s="28" t="s">
        <v>921</v>
      </c>
      <c r="C2378" s="28" t="s">
        <v>154</v>
      </c>
      <c r="D2378" s="28" t="s">
        <v>106</v>
      </c>
      <c r="E2378" s="28" t="s">
        <v>928</v>
      </c>
      <c r="F2378" s="28" t="s">
        <v>69</v>
      </c>
      <c r="G2378" s="35">
        <f>G2379</f>
        <v>500</v>
      </c>
      <c r="H2378" s="35">
        <f t="shared" ref="H2378:K2378" si="1124">H2379</f>
        <v>500</v>
      </c>
      <c r="I2378" s="35">
        <f t="shared" si="1124"/>
        <v>0</v>
      </c>
      <c r="J2378" s="35">
        <f t="shared" si="1124"/>
        <v>0</v>
      </c>
      <c r="K2378" s="35">
        <f t="shared" si="1124"/>
        <v>0</v>
      </c>
      <c r="L2378" s="35">
        <f t="shared" si="1106"/>
        <v>0</v>
      </c>
      <c r="M2378" s="35">
        <v>0</v>
      </c>
    </row>
    <row r="2379" spans="1:13">
      <c r="A2379" s="59" t="s">
        <v>70</v>
      </c>
      <c r="B2379" s="28" t="s">
        <v>921</v>
      </c>
      <c r="C2379" s="28" t="s">
        <v>154</v>
      </c>
      <c r="D2379" s="28" t="s">
        <v>106</v>
      </c>
      <c r="E2379" s="28" t="s">
        <v>928</v>
      </c>
      <c r="F2379" s="28" t="s">
        <v>71</v>
      </c>
      <c r="G2379" s="35">
        <v>500</v>
      </c>
      <c r="H2379" s="35">
        <v>500</v>
      </c>
      <c r="I2379" s="35">
        <v>0</v>
      </c>
      <c r="J2379" s="35">
        <v>0</v>
      </c>
      <c r="K2379" s="35">
        <v>0</v>
      </c>
      <c r="L2379" s="35">
        <f t="shared" si="1106"/>
        <v>0</v>
      </c>
      <c r="M2379" s="35">
        <v>0</v>
      </c>
    </row>
    <row r="2380" spans="1:13" ht="25.5">
      <c r="A2380" s="59" t="s">
        <v>80</v>
      </c>
      <c r="B2380" s="28" t="s">
        <v>921</v>
      </c>
      <c r="C2380" s="28" t="s">
        <v>154</v>
      </c>
      <c r="D2380" s="28" t="s">
        <v>106</v>
      </c>
      <c r="E2380" s="28" t="s">
        <v>928</v>
      </c>
      <c r="F2380" s="28" t="s">
        <v>81</v>
      </c>
      <c r="G2380" s="35">
        <f>G2382</f>
        <v>1500</v>
      </c>
      <c r="H2380" s="35">
        <f>H2382+H2381</f>
        <v>1172</v>
      </c>
      <c r="I2380" s="35">
        <f t="shared" ref="I2380:K2380" si="1125">I2382+I2381</f>
        <v>1172</v>
      </c>
      <c r="J2380" s="35">
        <f t="shared" si="1125"/>
        <v>1172</v>
      </c>
      <c r="K2380" s="35">
        <f t="shared" si="1125"/>
        <v>1172</v>
      </c>
      <c r="L2380" s="35">
        <f t="shared" si="1106"/>
        <v>100</v>
      </c>
      <c r="M2380" s="35">
        <f t="shared" si="1107"/>
        <v>100</v>
      </c>
    </row>
    <row r="2381" spans="1:13">
      <c r="A2381" s="62" t="s">
        <v>271</v>
      </c>
      <c r="B2381" s="28" t="s">
        <v>921</v>
      </c>
      <c r="C2381" s="28" t="s">
        <v>154</v>
      </c>
      <c r="D2381" s="28" t="s">
        <v>106</v>
      </c>
      <c r="E2381" s="28" t="s">
        <v>928</v>
      </c>
      <c r="F2381" s="28">
        <v>610</v>
      </c>
      <c r="G2381" s="35"/>
      <c r="H2381" s="35">
        <v>664</v>
      </c>
      <c r="I2381" s="35">
        <v>664</v>
      </c>
      <c r="J2381" s="35">
        <v>664</v>
      </c>
      <c r="K2381" s="35">
        <v>664</v>
      </c>
      <c r="L2381" s="35">
        <f t="shared" si="1106"/>
        <v>100</v>
      </c>
      <c r="M2381" s="35">
        <f t="shared" si="1107"/>
        <v>100</v>
      </c>
    </row>
    <row r="2382" spans="1:13" ht="38.25">
      <c r="A2382" s="59" t="s">
        <v>195</v>
      </c>
      <c r="B2382" s="28" t="s">
        <v>921</v>
      </c>
      <c r="C2382" s="28" t="s">
        <v>154</v>
      </c>
      <c r="D2382" s="28" t="s">
        <v>106</v>
      </c>
      <c r="E2382" s="28" t="s">
        <v>928</v>
      </c>
      <c r="F2382" s="28" t="s">
        <v>196</v>
      </c>
      <c r="G2382" s="35">
        <v>1500</v>
      </c>
      <c r="H2382" s="35">
        <v>508</v>
      </c>
      <c r="I2382" s="35">
        <v>508</v>
      </c>
      <c r="J2382" s="35">
        <v>508</v>
      </c>
      <c r="K2382" s="35">
        <v>508</v>
      </c>
      <c r="L2382" s="35">
        <f t="shared" si="1106"/>
        <v>100</v>
      </c>
      <c r="M2382" s="35">
        <f t="shared" si="1107"/>
        <v>100</v>
      </c>
    </row>
    <row r="2383" spans="1:13">
      <c r="A2383" s="62" t="s">
        <v>72</v>
      </c>
      <c r="B2383" s="28" t="s">
        <v>921</v>
      </c>
      <c r="C2383" s="28" t="s">
        <v>154</v>
      </c>
      <c r="D2383" s="28" t="s">
        <v>106</v>
      </c>
      <c r="E2383" s="28" t="s">
        <v>928</v>
      </c>
      <c r="F2383" s="28">
        <v>800</v>
      </c>
      <c r="G2383" s="35"/>
      <c r="H2383" s="35">
        <f>H2384</f>
        <v>328</v>
      </c>
      <c r="I2383" s="35">
        <f t="shared" ref="I2383:K2383" si="1126">I2384</f>
        <v>328</v>
      </c>
      <c r="J2383" s="35">
        <f t="shared" si="1126"/>
        <v>328</v>
      </c>
      <c r="K2383" s="35">
        <f t="shared" si="1126"/>
        <v>328</v>
      </c>
      <c r="L2383" s="35">
        <f t="shared" si="1106"/>
        <v>100</v>
      </c>
      <c r="M2383" s="35">
        <f t="shared" si="1107"/>
        <v>100</v>
      </c>
    </row>
    <row r="2384" spans="1:13" ht="51">
      <c r="A2384" s="62" t="s">
        <v>218</v>
      </c>
      <c r="B2384" s="28" t="s">
        <v>921</v>
      </c>
      <c r="C2384" s="28" t="s">
        <v>154</v>
      </c>
      <c r="D2384" s="28" t="s">
        <v>106</v>
      </c>
      <c r="E2384" s="28" t="s">
        <v>928</v>
      </c>
      <c r="F2384" s="28">
        <v>810</v>
      </c>
      <c r="G2384" s="35"/>
      <c r="H2384" s="35">
        <v>328</v>
      </c>
      <c r="I2384" s="35">
        <v>328</v>
      </c>
      <c r="J2384" s="35">
        <v>328</v>
      </c>
      <c r="K2384" s="35">
        <v>328</v>
      </c>
      <c r="L2384" s="35">
        <f t="shared" si="1106"/>
        <v>100</v>
      </c>
      <c r="M2384" s="35">
        <f t="shared" si="1107"/>
        <v>100</v>
      </c>
    </row>
    <row r="2385" spans="1:13" ht="25.5">
      <c r="A2385" s="59" t="s">
        <v>929</v>
      </c>
      <c r="B2385" s="28" t="s">
        <v>921</v>
      </c>
      <c r="C2385" s="28" t="s">
        <v>154</v>
      </c>
      <c r="D2385" s="28" t="s">
        <v>106</v>
      </c>
      <c r="E2385" s="28" t="s">
        <v>930</v>
      </c>
      <c r="F2385" s="58" t="s">
        <v>0</v>
      </c>
      <c r="G2385" s="35">
        <f>G2386</f>
        <v>20900</v>
      </c>
      <c r="H2385" s="35">
        <f t="shared" ref="H2385:K2385" si="1127">H2386</f>
        <v>18450</v>
      </c>
      <c r="I2385" s="35">
        <f t="shared" si="1127"/>
        <v>18450</v>
      </c>
      <c r="J2385" s="35">
        <f t="shared" si="1127"/>
        <v>18450</v>
      </c>
      <c r="K2385" s="35">
        <f t="shared" si="1127"/>
        <v>11807.819289999999</v>
      </c>
      <c r="L2385" s="35">
        <f t="shared" si="1106"/>
        <v>63.999020542005411</v>
      </c>
      <c r="M2385" s="35">
        <f t="shared" si="1107"/>
        <v>63.999020542005411</v>
      </c>
    </row>
    <row r="2386" spans="1:13">
      <c r="A2386" s="59" t="s">
        <v>26</v>
      </c>
      <c r="B2386" s="28" t="s">
        <v>921</v>
      </c>
      <c r="C2386" s="28" t="s">
        <v>154</v>
      </c>
      <c r="D2386" s="28" t="s">
        <v>106</v>
      </c>
      <c r="E2386" s="28" t="s">
        <v>930</v>
      </c>
      <c r="F2386" s="28" t="s">
        <v>27</v>
      </c>
      <c r="G2386" s="35">
        <f>G2387</f>
        <v>20900</v>
      </c>
      <c r="H2386" s="35">
        <f>H2387</f>
        <v>18450</v>
      </c>
      <c r="I2386" s="35">
        <f>I2387</f>
        <v>18450</v>
      </c>
      <c r="J2386" s="35">
        <f>J2387</f>
        <v>18450</v>
      </c>
      <c r="K2386" s="35">
        <f>K2387</f>
        <v>11807.819289999999</v>
      </c>
      <c r="L2386" s="35">
        <f t="shared" si="1106"/>
        <v>63.999020542005411</v>
      </c>
      <c r="M2386" s="35">
        <f t="shared" si="1107"/>
        <v>63.999020542005411</v>
      </c>
    </row>
    <row r="2387" spans="1:13">
      <c r="A2387" s="59" t="s">
        <v>56</v>
      </c>
      <c r="B2387" s="28" t="s">
        <v>921</v>
      </c>
      <c r="C2387" s="28" t="s">
        <v>154</v>
      </c>
      <c r="D2387" s="28" t="s">
        <v>106</v>
      </c>
      <c r="E2387" s="28" t="s">
        <v>930</v>
      </c>
      <c r="F2387" s="28" t="s">
        <v>57</v>
      </c>
      <c r="G2387" s="35">
        <v>20900</v>
      </c>
      <c r="H2387" s="35">
        <v>18450</v>
      </c>
      <c r="I2387" s="35">
        <v>18450</v>
      </c>
      <c r="J2387" s="35">
        <v>18450</v>
      </c>
      <c r="K2387" s="35">
        <v>11807.819289999999</v>
      </c>
      <c r="L2387" s="35">
        <f t="shared" si="1106"/>
        <v>63.999020542005411</v>
      </c>
      <c r="M2387" s="35">
        <f t="shared" si="1107"/>
        <v>63.999020542005411</v>
      </c>
    </row>
    <row r="2388" spans="1:13" ht="42.75" customHeight="1">
      <c r="A2388" s="59" t="s">
        <v>1116</v>
      </c>
      <c r="B2388" s="28" t="s">
        <v>921</v>
      </c>
      <c r="C2388" s="28" t="s">
        <v>154</v>
      </c>
      <c r="D2388" s="28" t="s">
        <v>106</v>
      </c>
      <c r="E2388" s="29" t="s">
        <v>1185</v>
      </c>
      <c r="F2388" s="28"/>
      <c r="G2388" s="35"/>
      <c r="H2388" s="35">
        <f>H2389</f>
        <v>5000</v>
      </c>
      <c r="I2388" s="35">
        <f t="shared" ref="I2388:K2389" si="1128">I2389</f>
        <v>5000</v>
      </c>
      <c r="J2388" s="35">
        <f t="shared" si="1128"/>
        <v>5000</v>
      </c>
      <c r="K2388" s="35">
        <f t="shared" si="1128"/>
        <v>5000</v>
      </c>
      <c r="L2388" s="35">
        <f t="shared" si="1106"/>
        <v>100</v>
      </c>
      <c r="M2388" s="35">
        <f t="shared" si="1107"/>
        <v>100</v>
      </c>
    </row>
    <row r="2389" spans="1:13" ht="25.5">
      <c r="A2389" s="59" t="s">
        <v>80</v>
      </c>
      <c r="B2389" s="28" t="s">
        <v>921</v>
      </c>
      <c r="C2389" s="28" t="s">
        <v>154</v>
      </c>
      <c r="D2389" s="28" t="s">
        <v>106</v>
      </c>
      <c r="E2389" s="29" t="s">
        <v>1185</v>
      </c>
      <c r="F2389" s="28">
        <v>600</v>
      </c>
      <c r="G2389" s="35"/>
      <c r="H2389" s="35">
        <f>H2390</f>
        <v>5000</v>
      </c>
      <c r="I2389" s="35">
        <f t="shared" si="1128"/>
        <v>5000</v>
      </c>
      <c r="J2389" s="35">
        <f t="shared" si="1128"/>
        <v>5000</v>
      </c>
      <c r="K2389" s="35">
        <f t="shared" si="1128"/>
        <v>5000</v>
      </c>
      <c r="L2389" s="35">
        <f t="shared" si="1106"/>
        <v>100</v>
      </c>
      <c r="M2389" s="35">
        <f t="shared" si="1107"/>
        <v>100</v>
      </c>
    </row>
    <row r="2390" spans="1:13">
      <c r="A2390" s="59" t="s">
        <v>82</v>
      </c>
      <c r="B2390" s="28" t="s">
        <v>921</v>
      </c>
      <c r="C2390" s="28" t="s">
        <v>154</v>
      </c>
      <c r="D2390" s="28" t="s">
        <v>106</v>
      </c>
      <c r="E2390" s="29" t="s">
        <v>1185</v>
      </c>
      <c r="F2390" s="28">
        <v>620</v>
      </c>
      <c r="G2390" s="35"/>
      <c r="H2390" s="35">
        <v>5000</v>
      </c>
      <c r="I2390" s="35">
        <v>5000</v>
      </c>
      <c r="J2390" s="35">
        <v>5000</v>
      </c>
      <c r="K2390" s="35">
        <v>5000</v>
      </c>
      <c r="L2390" s="35">
        <f t="shared" si="1106"/>
        <v>100</v>
      </c>
      <c r="M2390" s="35">
        <f t="shared" si="1107"/>
        <v>100</v>
      </c>
    </row>
    <row r="2391" spans="1:13" ht="42" customHeight="1">
      <c r="A2391" s="59" t="s">
        <v>1187</v>
      </c>
      <c r="B2391" s="28" t="s">
        <v>921</v>
      </c>
      <c r="C2391" s="28" t="s">
        <v>154</v>
      </c>
      <c r="D2391" s="28" t="s">
        <v>106</v>
      </c>
      <c r="E2391" s="29" t="s">
        <v>1186</v>
      </c>
      <c r="F2391" s="28"/>
      <c r="G2391" s="35"/>
      <c r="H2391" s="35">
        <f>H2392</f>
        <v>200</v>
      </c>
      <c r="I2391" s="35">
        <f t="shared" ref="I2391:K2392" si="1129">I2392</f>
        <v>200</v>
      </c>
      <c r="J2391" s="35">
        <f t="shared" si="1129"/>
        <v>200</v>
      </c>
      <c r="K2391" s="35">
        <f t="shared" si="1129"/>
        <v>200</v>
      </c>
      <c r="L2391" s="35">
        <f t="shared" si="1106"/>
        <v>100</v>
      </c>
      <c r="M2391" s="35">
        <f t="shared" si="1107"/>
        <v>100</v>
      </c>
    </row>
    <row r="2392" spans="1:13" ht="25.5">
      <c r="A2392" s="59" t="s">
        <v>80</v>
      </c>
      <c r="B2392" s="28" t="s">
        <v>921</v>
      </c>
      <c r="C2392" s="28" t="s">
        <v>154</v>
      </c>
      <c r="D2392" s="28" t="s">
        <v>106</v>
      </c>
      <c r="E2392" s="29" t="s">
        <v>1186</v>
      </c>
      <c r="F2392" s="28">
        <v>600</v>
      </c>
      <c r="G2392" s="35"/>
      <c r="H2392" s="35">
        <f>H2393</f>
        <v>200</v>
      </c>
      <c r="I2392" s="35">
        <f t="shared" si="1129"/>
        <v>200</v>
      </c>
      <c r="J2392" s="35">
        <f t="shared" si="1129"/>
        <v>200</v>
      </c>
      <c r="K2392" s="35">
        <f t="shared" si="1129"/>
        <v>200</v>
      </c>
      <c r="L2392" s="35">
        <f t="shared" si="1106"/>
        <v>100</v>
      </c>
      <c r="M2392" s="35">
        <f t="shared" si="1107"/>
        <v>100</v>
      </c>
    </row>
    <row r="2393" spans="1:13">
      <c r="A2393" s="59" t="s">
        <v>82</v>
      </c>
      <c r="B2393" s="28" t="s">
        <v>921</v>
      </c>
      <c r="C2393" s="28" t="s">
        <v>154</v>
      </c>
      <c r="D2393" s="28" t="s">
        <v>106</v>
      </c>
      <c r="E2393" s="29" t="s">
        <v>1186</v>
      </c>
      <c r="F2393" s="28">
        <v>620</v>
      </c>
      <c r="G2393" s="35"/>
      <c r="H2393" s="35">
        <v>200</v>
      </c>
      <c r="I2393" s="35">
        <v>200</v>
      </c>
      <c r="J2393" s="35">
        <v>200</v>
      </c>
      <c r="K2393" s="35">
        <v>200</v>
      </c>
      <c r="L2393" s="35">
        <f t="shared" si="1106"/>
        <v>100</v>
      </c>
      <c r="M2393" s="35">
        <f t="shared" si="1107"/>
        <v>100</v>
      </c>
    </row>
    <row r="2394" spans="1:13" ht="51" customHeight="1">
      <c r="A2394" s="59" t="s">
        <v>1189</v>
      </c>
      <c r="B2394" s="28" t="s">
        <v>921</v>
      </c>
      <c r="C2394" s="28" t="s">
        <v>154</v>
      </c>
      <c r="D2394" s="28" t="s">
        <v>106</v>
      </c>
      <c r="E2394" s="29" t="s">
        <v>1188</v>
      </c>
      <c r="F2394" s="28"/>
      <c r="G2394" s="35"/>
      <c r="H2394" s="35">
        <f>H2395</f>
        <v>2450</v>
      </c>
      <c r="I2394" s="35">
        <f t="shared" ref="I2394:K2395" si="1130">I2395</f>
        <v>2000</v>
      </c>
      <c r="J2394" s="35">
        <f t="shared" si="1130"/>
        <v>0</v>
      </c>
      <c r="K2394" s="35">
        <f t="shared" si="1130"/>
        <v>0</v>
      </c>
      <c r="L2394" s="35">
        <f t="shared" si="1106"/>
        <v>0</v>
      </c>
      <c r="M2394" s="35">
        <f t="shared" si="1107"/>
        <v>0</v>
      </c>
    </row>
    <row r="2395" spans="1:13">
      <c r="A2395" s="62" t="s">
        <v>26</v>
      </c>
      <c r="B2395" s="28" t="s">
        <v>921</v>
      </c>
      <c r="C2395" s="28" t="s">
        <v>154</v>
      </c>
      <c r="D2395" s="28" t="s">
        <v>106</v>
      </c>
      <c r="E2395" s="29" t="s">
        <v>1188</v>
      </c>
      <c r="F2395" s="28">
        <v>500</v>
      </c>
      <c r="G2395" s="35"/>
      <c r="H2395" s="35">
        <f>H2396</f>
        <v>2450</v>
      </c>
      <c r="I2395" s="35">
        <f t="shared" si="1130"/>
        <v>2000</v>
      </c>
      <c r="J2395" s="35">
        <f t="shared" si="1130"/>
        <v>0</v>
      </c>
      <c r="K2395" s="35">
        <f t="shared" si="1130"/>
        <v>0</v>
      </c>
      <c r="L2395" s="35">
        <f t="shared" si="1106"/>
        <v>0</v>
      </c>
      <c r="M2395" s="35">
        <f t="shared" si="1107"/>
        <v>0</v>
      </c>
    </row>
    <row r="2396" spans="1:13">
      <c r="A2396" s="62" t="s">
        <v>56</v>
      </c>
      <c r="B2396" s="28" t="s">
        <v>921</v>
      </c>
      <c r="C2396" s="28" t="s">
        <v>154</v>
      </c>
      <c r="D2396" s="28" t="s">
        <v>106</v>
      </c>
      <c r="E2396" s="29" t="s">
        <v>1188</v>
      </c>
      <c r="F2396" s="28">
        <v>520</v>
      </c>
      <c r="G2396" s="35"/>
      <c r="H2396" s="35">
        <v>2450</v>
      </c>
      <c r="I2396" s="35">
        <v>2000</v>
      </c>
      <c r="J2396" s="35">
        <v>0</v>
      </c>
      <c r="K2396" s="35">
        <v>0</v>
      </c>
      <c r="L2396" s="35">
        <f t="shared" si="1106"/>
        <v>0</v>
      </c>
      <c r="M2396" s="35">
        <f t="shared" si="1107"/>
        <v>0</v>
      </c>
    </row>
    <row r="2397" spans="1:13">
      <c r="A2397" s="62" t="s">
        <v>612</v>
      </c>
      <c r="B2397" s="28" t="s">
        <v>921</v>
      </c>
      <c r="C2397" s="28" t="s">
        <v>154</v>
      </c>
      <c r="D2397" s="28" t="s">
        <v>106</v>
      </c>
      <c r="E2397" s="29" t="s">
        <v>613</v>
      </c>
      <c r="F2397" s="28"/>
      <c r="G2397" s="35"/>
      <c r="H2397" s="35">
        <f>H2398</f>
        <v>10014.097</v>
      </c>
      <c r="I2397" s="35">
        <f t="shared" ref="I2397:K2399" si="1131">I2398</f>
        <v>10014.097</v>
      </c>
      <c r="J2397" s="35">
        <f t="shared" si="1131"/>
        <v>10014.097</v>
      </c>
      <c r="K2397" s="35">
        <f t="shared" si="1131"/>
        <v>10000.377</v>
      </c>
      <c r="L2397" s="35">
        <f t="shared" si="1106"/>
        <v>99.862993138572563</v>
      </c>
      <c r="M2397" s="35">
        <f t="shared" si="1107"/>
        <v>99.862993138572563</v>
      </c>
    </row>
    <row r="2398" spans="1:13">
      <c r="A2398" s="62" t="s">
        <v>612</v>
      </c>
      <c r="B2398" s="28" t="s">
        <v>921</v>
      </c>
      <c r="C2398" s="28" t="s">
        <v>154</v>
      </c>
      <c r="D2398" s="28" t="s">
        <v>106</v>
      </c>
      <c r="E2398" s="29" t="s">
        <v>614</v>
      </c>
      <c r="F2398" s="28"/>
      <c r="G2398" s="35"/>
      <c r="H2398" s="35">
        <f>H2399+H2402</f>
        <v>10014.097</v>
      </c>
      <c r="I2398" s="35">
        <f t="shared" ref="I2398:K2398" si="1132">I2399+I2402</f>
        <v>10014.097</v>
      </c>
      <c r="J2398" s="35">
        <f t="shared" si="1132"/>
        <v>10014.097</v>
      </c>
      <c r="K2398" s="35">
        <f t="shared" si="1132"/>
        <v>10000.377</v>
      </c>
      <c r="L2398" s="35">
        <f t="shared" si="1106"/>
        <v>99.862993138572563</v>
      </c>
      <c r="M2398" s="35">
        <f t="shared" si="1107"/>
        <v>99.862993138572563</v>
      </c>
    </row>
    <row r="2399" spans="1:13">
      <c r="A2399" s="62" t="s">
        <v>26</v>
      </c>
      <c r="B2399" s="28" t="s">
        <v>921</v>
      </c>
      <c r="C2399" s="28" t="s">
        <v>154</v>
      </c>
      <c r="D2399" s="28" t="s">
        <v>106</v>
      </c>
      <c r="E2399" s="29" t="s">
        <v>614</v>
      </c>
      <c r="F2399" s="28">
        <v>500</v>
      </c>
      <c r="G2399" s="35"/>
      <c r="H2399" s="35">
        <f>H2400</f>
        <v>9913.84</v>
      </c>
      <c r="I2399" s="35">
        <f t="shared" si="1131"/>
        <v>9913.84</v>
      </c>
      <c r="J2399" s="35">
        <f t="shared" si="1131"/>
        <v>9913.84</v>
      </c>
      <c r="K2399" s="35">
        <f t="shared" si="1131"/>
        <v>9900.1200000000008</v>
      </c>
      <c r="L2399" s="35">
        <f t="shared" si="1106"/>
        <v>99.861607611177917</v>
      </c>
      <c r="M2399" s="35">
        <f t="shared" si="1107"/>
        <v>99.861607611177917</v>
      </c>
    </row>
    <row r="2400" spans="1:13">
      <c r="A2400" s="62" t="s">
        <v>352</v>
      </c>
      <c r="B2400" s="28" t="s">
        <v>921</v>
      </c>
      <c r="C2400" s="28" t="s">
        <v>154</v>
      </c>
      <c r="D2400" s="28" t="s">
        <v>106</v>
      </c>
      <c r="E2400" s="29" t="s">
        <v>614</v>
      </c>
      <c r="F2400" s="28">
        <v>540</v>
      </c>
      <c r="G2400" s="35"/>
      <c r="H2400" s="35">
        <v>9913.84</v>
      </c>
      <c r="I2400" s="35">
        <v>9913.84</v>
      </c>
      <c r="J2400" s="35">
        <v>9913.84</v>
      </c>
      <c r="K2400" s="35">
        <v>9900.1200000000008</v>
      </c>
      <c r="L2400" s="35">
        <f t="shared" si="1106"/>
        <v>99.861607611177917</v>
      </c>
      <c r="M2400" s="35">
        <f t="shared" si="1107"/>
        <v>99.861607611177917</v>
      </c>
    </row>
    <row r="2401" spans="1:13" s="92" customFormat="1" ht="25.5">
      <c r="A2401" s="59" t="s">
        <v>80</v>
      </c>
      <c r="B2401" s="28" t="s">
        <v>921</v>
      </c>
      <c r="C2401" s="28" t="s">
        <v>154</v>
      </c>
      <c r="D2401" s="28" t="s">
        <v>106</v>
      </c>
      <c r="E2401" s="29" t="s">
        <v>614</v>
      </c>
      <c r="F2401" s="28">
        <v>600</v>
      </c>
      <c r="G2401" s="35"/>
      <c r="H2401" s="35">
        <f>H2402</f>
        <v>100.25700000000001</v>
      </c>
      <c r="I2401" s="35">
        <f t="shared" ref="I2401:K2401" si="1133">I2402</f>
        <v>100.25700000000001</v>
      </c>
      <c r="J2401" s="35">
        <f t="shared" si="1133"/>
        <v>100.25700000000001</v>
      </c>
      <c r="K2401" s="35">
        <f t="shared" si="1133"/>
        <v>100.25700000000001</v>
      </c>
      <c r="L2401" s="35">
        <f t="shared" si="1106"/>
        <v>100</v>
      </c>
      <c r="M2401" s="35">
        <f t="shared" si="1107"/>
        <v>100</v>
      </c>
    </row>
    <row r="2402" spans="1:13" s="92" customFormat="1" ht="38.25">
      <c r="A2402" s="8" t="s">
        <v>195</v>
      </c>
      <c r="B2402" s="28" t="s">
        <v>921</v>
      </c>
      <c r="C2402" s="28" t="s">
        <v>154</v>
      </c>
      <c r="D2402" s="28" t="s">
        <v>106</v>
      </c>
      <c r="E2402" s="29" t="s">
        <v>614</v>
      </c>
      <c r="F2402" s="28">
        <v>630</v>
      </c>
      <c r="G2402" s="35"/>
      <c r="H2402" s="35">
        <v>100.25700000000001</v>
      </c>
      <c r="I2402" s="35">
        <v>100.25700000000001</v>
      </c>
      <c r="J2402" s="35">
        <v>100.25700000000001</v>
      </c>
      <c r="K2402" s="35">
        <v>100.25700000000001</v>
      </c>
      <c r="L2402" s="35">
        <f t="shared" si="1106"/>
        <v>100</v>
      </c>
      <c r="M2402" s="35">
        <f t="shared" si="1107"/>
        <v>100</v>
      </c>
    </row>
    <row r="2403" spans="1:13">
      <c r="A2403" s="59" t="s">
        <v>931</v>
      </c>
      <c r="B2403" s="28" t="s">
        <v>921</v>
      </c>
      <c r="C2403" s="28" t="s">
        <v>154</v>
      </c>
      <c r="D2403" s="28" t="s">
        <v>150</v>
      </c>
      <c r="E2403" s="58" t="s">
        <v>0</v>
      </c>
      <c r="F2403" s="58" t="s">
        <v>0</v>
      </c>
      <c r="G2403" s="35">
        <f>G2404</f>
        <v>379147.60000000003</v>
      </c>
      <c r="H2403" s="35">
        <f>H2404+H2418</f>
        <v>375763.24000000005</v>
      </c>
      <c r="I2403" s="35">
        <f t="shared" ref="I2403:K2403" si="1134">I2404+I2418</f>
        <v>295045.84000000003</v>
      </c>
      <c r="J2403" s="35">
        <f t="shared" si="1134"/>
        <v>295045.84000000003</v>
      </c>
      <c r="K2403" s="35">
        <f t="shared" si="1134"/>
        <v>295041.44</v>
      </c>
      <c r="L2403" s="35">
        <f t="shared" ref="L2403:L2466" si="1135">K2403/H2403*100</f>
        <v>78.517909309063867</v>
      </c>
      <c r="M2403" s="35">
        <f t="shared" ref="M2403:M2466" si="1136">K2403/I2403*100</f>
        <v>99.998508706308144</v>
      </c>
    </row>
    <row r="2404" spans="1:13" ht="63.75">
      <c r="A2404" s="59" t="s">
        <v>156</v>
      </c>
      <c r="B2404" s="28" t="s">
        <v>921</v>
      </c>
      <c r="C2404" s="28" t="s">
        <v>154</v>
      </c>
      <c r="D2404" s="28" t="s">
        <v>150</v>
      </c>
      <c r="E2404" s="28" t="s">
        <v>157</v>
      </c>
      <c r="F2404" s="58" t="s">
        <v>0</v>
      </c>
      <c r="G2404" s="35">
        <f>G2405</f>
        <v>379147.60000000003</v>
      </c>
      <c r="H2404" s="35">
        <f t="shared" ref="H2404:K2404" si="1137">H2405</f>
        <v>373947.60000000003</v>
      </c>
      <c r="I2404" s="35">
        <f t="shared" si="1137"/>
        <v>293230.2</v>
      </c>
      <c r="J2404" s="35">
        <f t="shared" si="1137"/>
        <v>293230.2</v>
      </c>
      <c r="K2404" s="35">
        <f t="shared" si="1137"/>
        <v>293230.2</v>
      </c>
      <c r="L2404" s="35">
        <f t="shared" si="1135"/>
        <v>78.414783247706353</v>
      </c>
      <c r="M2404" s="35">
        <f t="shared" si="1136"/>
        <v>100</v>
      </c>
    </row>
    <row r="2405" spans="1:13">
      <c r="A2405" s="59" t="s">
        <v>158</v>
      </c>
      <c r="B2405" s="28" t="s">
        <v>921</v>
      </c>
      <c r="C2405" s="28" t="s">
        <v>154</v>
      </c>
      <c r="D2405" s="28" t="s">
        <v>150</v>
      </c>
      <c r="E2405" s="28" t="s">
        <v>159</v>
      </c>
      <c r="F2405" s="58" t="s">
        <v>0</v>
      </c>
      <c r="G2405" s="35">
        <f>G2406+G2409+G2412</f>
        <v>379147.60000000003</v>
      </c>
      <c r="H2405" s="35">
        <f>H2406+H2409+H2412+H2415</f>
        <v>373947.60000000003</v>
      </c>
      <c r="I2405" s="35">
        <f t="shared" ref="I2405:K2405" si="1138">I2406+I2409+I2412+I2415</f>
        <v>293230.2</v>
      </c>
      <c r="J2405" s="35">
        <f t="shared" si="1138"/>
        <v>293230.2</v>
      </c>
      <c r="K2405" s="35">
        <f t="shared" si="1138"/>
        <v>293230.2</v>
      </c>
      <c r="L2405" s="35">
        <f t="shared" si="1135"/>
        <v>78.414783247706353</v>
      </c>
      <c r="M2405" s="35">
        <f t="shared" si="1136"/>
        <v>100</v>
      </c>
    </row>
    <row r="2406" spans="1:13" ht="51">
      <c r="A2406" s="59" t="s">
        <v>932</v>
      </c>
      <c r="B2406" s="28" t="s">
        <v>921</v>
      </c>
      <c r="C2406" s="28" t="s">
        <v>154</v>
      </c>
      <c r="D2406" s="28" t="s">
        <v>150</v>
      </c>
      <c r="E2406" s="28" t="s">
        <v>933</v>
      </c>
      <c r="F2406" s="58" t="s">
        <v>0</v>
      </c>
      <c r="G2406" s="35">
        <f>G2407</f>
        <v>6286.2</v>
      </c>
      <c r="H2406" s="35">
        <f t="shared" ref="H2406:K2407" si="1139">H2407</f>
        <v>6286.2</v>
      </c>
      <c r="I2406" s="35">
        <f t="shared" si="1139"/>
        <v>6286.2</v>
      </c>
      <c r="J2406" s="35">
        <f t="shared" si="1139"/>
        <v>6286.2</v>
      </c>
      <c r="K2406" s="35">
        <f t="shared" si="1139"/>
        <v>6286.2</v>
      </c>
      <c r="L2406" s="35">
        <f t="shared" si="1135"/>
        <v>100</v>
      </c>
      <c r="M2406" s="35">
        <f t="shared" si="1136"/>
        <v>100</v>
      </c>
    </row>
    <row r="2407" spans="1:13" ht="25.5">
      <c r="A2407" s="59" t="s">
        <v>80</v>
      </c>
      <c r="B2407" s="28" t="s">
        <v>921</v>
      </c>
      <c r="C2407" s="28" t="s">
        <v>154</v>
      </c>
      <c r="D2407" s="28" t="s">
        <v>150</v>
      </c>
      <c r="E2407" s="28" t="s">
        <v>933</v>
      </c>
      <c r="F2407" s="28" t="s">
        <v>81</v>
      </c>
      <c r="G2407" s="35">
        <f>G2408</f>
        <v>6286.2</v>
      </c>
      <c r="H2407" s="35">
        <f t="shared" si="1139"/>
        <v>6286.2</v>
      </c>
      <c r="I2407" s="35">
        <f t="shared" si="1139"/>
        <v>6286.2</v>
      </c>
      <c r="J2407" s="35">
        <f t="shared" si="1139"/>
        <v>6286.2</v>
      </c>
      <c r="K2407" s="35">
        <f t="shared" si="1139"/>
        <v>6286.2</v>
      </c>
      <c r="L2407" s="35">
        <f t="shared" si="1135"/>
        <v>100</v>
      </c>
      <c r="M2407" s="35">
        <f t="shared" si="1136"/>
        <v>100</v>
      </c>
    </row>
    <row r="2408" spans="1:13">
      <c r="A2408" s="59" t="s">
        <v>82</v>
      </c>
      <c r="B2408" s="28" t="s">
        <v>921</v>
      </c>
      <c r="C2408" s="28" t="s">
        <v>154</v>
      </c>
      <c r="D2408" s="28" t="s">
        <v>150</v>
      </c>
      <c r="E2408" s="28" t="s">
        <v>933</v>
      </c>
      <c r="F2408" s="28" t="s">
        <v>83</v>
      </c>
      <c r="G2408" s="35">
        <v>6286.2</v>
      </c>
      <c r="H2408" s="35">
        <v>6286.2</v>
      </c>
      <c r="I2408" s="35">
        <v>6286.2</v>
      </c>
      <c r="J2408" s="35">
        <v>6286.2</v>
      </c>
      <c r="K2408" s="35">
        <v>6286.2</v>
      </c>
      <c r="L2408" s="35">
        <f t="shared" si="1135"/>
        <v>100</v>
      </c>
      <c r="M2408" s="35">
        <f t="shared" si="1136"/>
        <v>100</v>
      </c>
    </row>
    <row r="2409" spans="1:13" ht="25.5">
      <c r="A2409" s="59" t="s">
        <v>76</v>
      </c>
      <c r="B2409" s="28" t="s">
        <v>921</v>
      </c>
      <c r="C2409" s="28" t="s">
        <v>154</v>
      </c>
      <c r="D2409" s="28" t="s">
        <v>150</v>
      </c>
      <c r="E2409" s="28" t="s">
        <v>934</v>
      </c>
      <c r="F2409" s="58" t="s">
        <v>0</v>
      </c>
      <c r="G2409" s="35">
        <f>G2410</f>
        <v>310761.40000000002</v>
      </c>
      <c r="H2409" s="35">
        <f t="shared" ref="H2409:K2410" si="1140">H2410</f>
        <v>301347.40000000002</v>
      </c>
      <c r="I2409" s="35">
        <f t="shared" si="1140"/>
        <v>228180</v>
      </c>
      <c r="J2409" s="35">
        <f t="shared" si="1140"/>
        <v>228180</v>
      </c>
      <c r="K2409" s="35">
        <f t="shared" si="1140"/>
        <v>228180</v>
      </c>
      <c r="L2409" s="35">
        <f t="shared" si="1135"/>
        <v>75.719916614512016</v>
      </c>
      <c r="M2409" s="35">
        <f t="shared" si="1136"/>
        <v>100</v>
      </c>
    </row>
    <row r="2410" spans="1:13" ht="25.5">
      <c r="A2410" s="59" t="s">
        <v>80</v>
      </c>
      <c r="B2410" s="28" t="s">
        <v>921</v>
      </c>
      <c r="C2410" s="28" t="s">
        <v>154</v>
      </c>
      <c r="D2410" s="28" t="s">
        <v>150</v>
      </c>
      <c r="E2410" s="28" t="s">
        <v>934</v>
      </c>
      <c r="F2410" s="28" t="s">
        <v>81</v>
      </c>
      <c r="G2410" s="35">
        <f>G2411</f>
        <v>310761.40000000002</v>
      </c>
      <c r="H2410" s="35">
        <f t="shared" si="1140"/>
        <v>301347.40000000002</v>
      </c>
      <c r="I2410" s="35">
        <f t="shared" si="1140"/>
        <v>228180</v>
      </c>
      <c r="J2410" s="35">
        <f t="shared" si="1140"/>
        <v>228180</v>
      </c>
      <c r="K2410" s="35">
        <f t="shared" si="1140"/>
        <v>228180</v>
      </c>
      <c r="L2410" s="35">
        <f t="shared" si="1135"/>
        <v>75.719916614512016</v>
      </c>
      <c r="M2410" s="35">
        <f t="shared" si="1136"/>
        <v>100</v>
      </c>
    </row>
    <row r="2411" spans="1:13">
      <c r="A2411" s="59" t="s">
        <v>82</v>
      </c>
      <c r="B2411" s="28" t="s">
        <v>921</v>
      </c>
      <c r="C2411" s="28" t="s">
        <v>154</v>
      </c>
      <c r="D2411" s="28" t="s">
        <v>150</v>
      </c>
      <c r="E2411" s="28" t="s">
        <v>934</v>
      </c>
      <c r="F2411" s="28" t="s">
        <v>83</v>
      </c>
      <c r="G2411" s="35">
        <v>310761.40000000002</v>
      </c>
      <c r="H2411" s="35">
        <v>301347.40000000002</v>
      </c>
      <c r="I2411" s="35">
        <v>228180</v>
      </c>
      <c r="J2411" s="35">
        <v>228180</v>
      </c>
      <c r="K2411" s="35">
        <v>228180</v>
      </c>
      <c r="L2411" s="35">
        <f t="shared" si="1135"/>
        <v>75.719916614512016</v>
      </c>
      <c r="M2411" s="35">
        <f t="shared" si="1136"/>
        <v>100</v>
      </c>
    </row>
    <row r="2412" spans="1:13">
      <c r="A2412" s="59" t="s">
        <v>924</v>
      </c>
      <c r="B2412" s="28" t="s">
        <v>921</v>
      </c>
      <c r="C2412" s="28" t="s">
        <v>154</v>
      </c>
      <c r="D2412" s="28" t="s">
        <v>150</v>
      </c>
      <c r="E2412" s="28" t="s">
        <v>928</v>
      </c>
      <c r="F2412" s="58" t="s">
        <v>0</v>
      </c>
      <c r="G2412" s="35">
        <f>G2413</f>
        <v>62100</v>
      </c>
      <c r="H2412" s="35">
        <f t="shared" ref="H2412:K2413" si="1141">H2413</f>
        <v>51814</v>
      </c>
      <c r="I2412" s="35">
        <f t="shared" si="1141"/>
        <v>44264</v>
      </c>
      <c r="J2412" s="35">
        <f t="shared" si="1141"/>
        <v>44264</v>
      </c>
      <c r="K2412" s="35">
        <f t="shared" si="1141"/>
        <v>44264</v>
      </c>
      <c r="L2412" s="35">
        <f t="shared" si="1135"/>
        <v>85.428648627784</v>
      </c>
      <c r="M2412" s="35">
        <f t="shared" si="1136"/>
        <v>100</v>
      </c>
    </row>
    <row r="2413" spans="1:13" ht="25.5">
      <c r="A2413" s="59" t="s">
        <v>80</v>
      </c>
      <c r="B2413" s="28" t="s">
        <v>921</v>
      </c>
      <c r="C2413" s="28" t="s">
        <v>154</v>
      </c>
      <c r="D2413" s="28" t="s">
        <v>150</v>
      </c>
      <c r="E2413" s="28" t="s">
        <v>928</v>
      </c>
      <c r="F2413" s="28" t="s">
        <v>81</v>
      </c>
      <c r="G2413" s="35">
        <f>G2414</f>
        <v>62100</v>
      </c>
      <c r="H2413" s="35">
        <f t="shared" si="1141"/>
        <v>51814</v>
      </c>
      <c r="I2413" s="35">
        <f t="shared" si="1141"/>
        <v>44264</v>
      </c>
      <c r="J2413" s="35">
        <f t="shared" si="1141"/>
        <v>44264</v>
      </c>
      <c r="K2413" s="35">
        <f t="shared" si="1141"/>
        <v>44264</v>
      </c>
      <c r="L2413" s="35">
        <f t="shared" si="1135"/>
        <v>85.428648627784</v>
      </c>
      <c r="M2413" s="35">
        <f t="shared" si="1136"/>
        <v>100</v>
      </c>
    </row>
    <row r="2414" spans="1:13" ht="15.75" customHeight="1">
      <c r="A2414" s="59" t="s">
        <v>82</v>
      </c>
      <c r="B2414" s="28" t="s">
        <v>921</v>
      </c>
      <c r="C2414" s="28" t="s">
        <v>154</v>
      </c>
      <c r="D2414" s="28" t="s">
        <v>150</v>
      </c>
      <c r="E2414" s="28" t="s">
        <v>928</v>
      </c>
      <c r="F2414" s="28" t="s">
        <v>83</v>
      </c>
      <c r="G2414" s="35">
        <v>62100</v>
      </c>
      <c r="H2414" s="35">
        <v>51814</v>
      </c>
      <c r="I2414" s="35">
        <v>44264</v>
      </c>
      <c r="J2414" s="35">
        <v>44264</v>
      </c>
      <c r="K2414" s="35">
        <v>44264</v>
      </c>
      <c r="L2414" s="35">
        <f t="shared" si="1135"/>
        <v>85.428648627784</v>
      </c>
      <c r="M2414" s="35">
        <f t="shared" si="1136"/>
        <v>100</v>
      </c>
    </row>
    <row r="2415" spans="1:13" ht="54" customHeight="1">
      <c r="A2415" s="59" t="s">
        <v>1191</v>
      </c>
      <c r="B2415" s="28" t="s">
        <v>921</v>
      </c>
      <c r="C2415" s="28" t="s">
        <v>154</v>
      </c>
      <c r="D2415" s="28" t="s">
        <v>150</v>
      </c>
      <c r="E2415" s="29" t="s">
        <v>1190</v>
      </c>
      <c r="F2415" s="28"/>
      <c r="G2415" s="35"/>
      <c r="H2415" s="35">
        <f>H2416</f>
        <v>14500</v>
      </c>
      <c r="I2415" s="35">
        <f t="shared" ref="I2415:K2416" si="1142">I2416</f>
        <v>14500</v>
      </c>
      <c r="J2415" s="35">
        <f t="shared" si="1142"/>
        <v>14500</v>
      </c>
      <c r="K2415" s="35">
        <f t="shared" si="1142"/>
        <v>14500</v>
      </c>
      <c r="L2415" s="35">
        <f t="shared" si="1135"/>
        <v>100</v>
      </c>
      <c r="M2415" s="35">
        <f t="shared" si="1136"/>
        <v>100</v>
      </c>
    </row>
    <row r="2416" spans="1:13" ht="13.5" customHeight="1">
      <c r="A2416" s="59" t="s">
        <v>80</v>
      </c>
      <c r="B2416" s="28" t="s">
        <v>921</v>
      </c>
      <c r="C2416" s="28" t="s">
        <v>154</v>
      </c>
      <c r="D2416" s="28" t="s">
        <v>150</v>
      </c>
      <c r="E2416" s="29" t="s">
        <v>1190</v>
      </c>
      <c r="F2416" s="28">
        <v>600</v>
      </c>
      <c r="G2416" s="35"/>
      <c r="H2416" s="35">
        <f>H2417</f>
        <v>14500</v>
      </c>
      <c r="I2416" s="35">
        <f t="shared" si="1142"/>
        <v>14500</v>
      </c>
      <c r="J2416" s="35">
        <f t="shared" si="1142"/>
        <v>14500</v>
      </c>
      <c r="K2416" s="35">
        <f t="shared" si="1142"/>
        <v>14500</v>
      </c>
      <c r="L2416" s="35">
        <f t="shared" si="1135"/>
        <v>100</v>
      </c>
      <c r="M2416" s="35">
        <f t="shared" si="1136"/>
        <v>100</v>
      </c>
    </row>
    <row r="2417" spans="1:13" ht="13.5" customHeight="1">
      <c r="A2417" s="59" t="s">
        <v>82</v>
      </c>
      <c r="B2417" s="28" t="s">
        <v>921</v>
      </c>
      <c r="C2417" s="28" t="s">
        <v>154</v>
      </c>
      <c r="D2417" s="28" t="s">
        <v>150</v>
      </c>
      <c r="E2417" s="29" t="s">
        <v>1190</v>
      </c>
      <c r="F2417" s="28">
        <v>620</v>
      </c>
      <c r="G2417" s="35"/>
      <c r="H2417" s="35">
        <v>14500</v>
      </c>
      <c r="I2417" s="35">
        <v>14500</v>
      </c>
      <c r="J2417" s="35">
        <v>14500</v>
      </c>
      <c r="K2417" s="35">
        <v>14500</v>
      </c>
      <c r="L2417" s="35">
        <f t="shared" si="1135"/>
        <v>100</v>
      </c>
      <c r="M2417" s="35">
        <f t="shared" si="1136"/>
        <v>100</v>
      </c>
    </row>
    <row r="2418" spans="1:13" ht="13.5" customHeight="1">
      <c r="A2418" s="62" t="s">
        <v>612</v>
      </c>
      <c r="B2418" s="28" t="s">
        <v>921</v>
      </c>
      <c r="C2418" s="28" t="s">
        <v>154</v>
      </c>
      <c r="D2418" s="28" t="s">
        <v>150</v>
      </c>
      <c r="E2418" s="29" t="s">
        <v>613</v>
      </c>
      <c r="F2418" s="28"/>
      <c r="G2418" s="35"/>
      <c r="H2418" s="35">
        <f>H2419</f>
        <v>1815.64</v>
      </c>
      <c r="I2418" s="35">
        <f t="shared" ref="I2418:K2418" si="1143">I2419</f>
        <v>1815.64</v>
      </c>
      <c r="J2418" s="35">
        <f t="shared" si="1143"/>
        <v>1815.64</v>
      </c>
      <c r="K2418" s="35">
        <f t="shared" si="1143"/>
        <v>1811.24</v>
      </c>
      <c r="L2418" s="35">
        <f t="shared" si="1135"/>
        <v>99.757661210372092</v>
      </c>
      <c r="M2418" s="35">
        <f t="shared" si="1136"/>
        <v>99.757661210372092</v>
      </c>
    </row>
    <row r="2419" spans="1:13" ht="13.5" customHeight="1">
      <c r="A2419" s="62" t="s">
        <v>612</v>
      </c>
      <c r="B2419" s="28" t="s">
        <v>921</v>
      </c>
      <c r="C2419" s="28" t="s">
        <v>154</v>
      </c>
      <c r="D2419" s="28" t="s">
        <v>150</v>
      </c>
      <c r="E2419" s="29" t="s">
        <v>614</v>
      </c>
      <c r="F2419" s="28"/>
      <c r="G2419" s="35"/>
      <c r="H2419" s="35">
        <f>H2420+H2422</f>
        <v>1815.64</v>
      </c>
      <c r="I2419" s="35">
        <f t="shared" ref="I2419:K2419" si="1144">I2420+I2422</f>
        <v>1815.64</v>
      </c>
      <c r="J2419" s="35">
        <f t="shared" si="1144"/>
        <v>1815.64</v>
      </c>
      <c r="K2419" s="35">
        <f t="shared" si="1144"/>
        <v>1811.24</v>
      </c>
      <c r="L2419" s="35">
        <f t="shared" si="1135"/>
        <v>99.757661210372092</v>
      </c>
      <c r="M2419" s="35">
        <f t="shared" si="1136"/>
        <v>99.757661210372092</v>
      </c>
    </row>
    <row r="2420" spans="1:13" ht="13.5" customHeight="1">
      <c r="A2420" s="62" t="s">
        <v>26</v>
      </c>
      <c r="B2420" s="28" t="s">
        <v>921</v>
      </c>
      <c r="C2420" s="28" t="s">
        <v>154</v>
      </c>
      <c r="D2420" s="28" t="s">
        <v>150</v>
      </c>
      <c r="E2420" s="29" t="s">
        <v>614</v>
      </c>
      <c r="F2420" s="28">
        <v>500</v>
      </c>
      <c r="G2420" s="35"/>
      <c r="H2420" s="35">
        <f>H2421</f>
        <v>608.24</v>
      </c>
      <c r="I2420" s="35">
        <f t="shared" ref="I2420:K2420" si="1145">I2421</f>
        <v>608.24</v>
      </c>
      <c r="J2420" s="35">
        <f t="shared" si="1145"/>
        <v>608.24</v>
      </c>
      <c r="K2420" s="35">
        <f t="shared" si="1145"/>
        <v>608.24</v>
      </c>
      <c r="L2420" s="35">
        <f t="shared" si="1135"/>
        <v>100</v>
      </c>
      <c r="M2420" s="35">
        <f t="shared" si="1136"/>
        <v>100</v>
      </c>
    </row>
    <row r="2421" spans="1:13" ht="13.5" customHeight="1">
      <c r="A2421" s="62" t="s">
        <v>352</v>
      </c>
      <c r="B2421" s="28" t="s">
        <v>921</v>
      </c>
      <c r="C2421" s="28" t="s">
        <v>154</v>
      </c>
      <c r="D2421" s="28" t="s">
        <v>150</v>
      </c>
      <c r="E2421" s="29" t="s">
        <v>614</v>
      </c>
      <c r="F2421" s="28">
        <v>540</v>
      </c>
      <c r="G2421" s="35"/>
      <c r="H2421" s="35">
        <v>608.24</v>
      </c>
      <c r="I2421" s="35">
        <v>608.24</v>
      </c>
      <c r="J2421" s="35">
        <v>608.24</v>
      </c>
      <c r="K2421" s="35">
        <v>608.24</v>
      </c>
      <c r="L2421" s="35">
        <f t="shared" si="1135"/>
        <v>100</v>
      </c>
      <c r="M2421" s="35">
        <f t="shared" si="1136"/>
        <v>100</v>
      </c>
    </row>
    <row r="2422" spans="1:13" ht="25.5">
      <c r="A2422" s="59" t="s">
        <v>80</v>
      </c>
      <c r="B2422" s="28" t="s">
        <v>921</v>
      </c>
      <c r="C2422" s="28" t="s">
        <v>154</v>
      </c>
      <c r="D2422" s="28" t="s">
        <v>150</v>
      </c>
      <c r="E2422" s="29" t="s">
        <v>614</v>
      </c>
      <c r="F2422" s="28">
        <v>600</v>
      </c>
      <c r="G2422" s="35"/>
      <c r="H2422" s="35">
        <f>H2423</f>
        <v>1207.4000000000001</v>
      </c>
      <c r="I2422" s="35">
        <f t="shared" ref="I2422:K2422" si="1146">I2423</f>
        <v>1207.4000000000001</v>
      </c>
      <c r="J2422" s="35">
        <f t="shared" si="1146"/>
        <v>1207.4000000000001</v>
      </c>
      <c r="K2422" s="35">
        <f t="shared" si="1146"/>
        <v>1203</v>
      </c>
      <c r="L2422" s="35">
        <f t="shared" si="1135"/>
        <v>99.635580586383952</v>
      </c>
      <c r="M2422" s="35">
        <f t="shared" si="1136"/>
        <v>99.635580586383952</v>
      </c>
    </row>
    <row r="2423" spans="1:13">
      <c r="A2423" s="59" t="s">
        <v>82</v>
      </c>
      <c r="B2423" s="28" t="s">
        <v>921</v>
      </c>
      <c r="C2423" s="28" t="s">
        <v>154</v>
      </c>
      <c r="D2423" s="28" t="s">
        <v>150</v>
      </c>
      <c r="E2423" s="29" t="s">
        <v>614</v>
      </c>
      <c r="F2423" s="28">
        <v>620</v>
      </c>
      <c r="G2423" s="35"/>
      <c r="H2423" s="35">
        <v>1207.4000000000001</v>
      </c>
      <c r="I2423" s="35">
        <v>1207.4000000000001</v>
      </c>
      <c r="J2423" s="35">
        <v>1207.4000000000001</v>
      </c>
      <c r="K2423" s="35">
        <v>1203</v>
      </c>
      <c r="L2423" s="35">
        <f t="shared" si="1135"/>
        <v>99.635580586383952</v>
      </c>
      <c r="M2423" s="35">
        <f t="shared" si="1136"/>
        <v>99.635580586383952</v>
      </c>
    </row>
    <row r="2424" spans="1:13">
      <c r="A2424" s="64" t="s">
        <v>0</v>
      </c>
      <c r="B2424" s="65" t="s">
        <v>0</v>
      </c>
      <c r="C2424" s="58" t="s">
        <v>0</v>
      </c>
      <c r="D2424" s="58" t="s">
        <v>0</v>
      </c>
      <c r="E2424" s="58" t="s">
        <v>0</v>
      </c>
      <c r="F2424" s="58" t="s">
        <v>0</v>
      </c>
      <c r="G2424" s="66" t="s">
        <v>0</v>
      </c>
      <c r="H2424" s="66" t="s">
        <v>0</v>
      </c>
      <c r="I2424" s="66" t="s">
        <v>0</v>
      </c>
      <c r="J2424" s="66" t="s">
        <v>0</v>
      </c>
      <c r="K2424" s="66" t="s">
        <v>0</v>
      </c>
      <c r="L2424" s="35"/>
      <c r="M2424" s="35"/>
    </row>
    <row r="2425" spans="1:13" ht="25.5">
      <c r="A2425" s="56" t="s">
        <v>935</v>
      </c>
      <c r="B2425" s="57" t="s">
        <v>69</v>
      </c>
      <c r="C2425" s="58" t="s">
        <v>0</v>
      </c>
      <c r="D2425" s="58" t="s">
        <v>0</v>
      </c>
      <c r="E2425" s="58" t="s">
        <v>0</v>
      </c>
      <c r="F2425" s="58" t="s">
        <v>0</v>
      </c>
      <c r="G2425" s="30">
        <f>G2426</f>
        <v>15055</v>
      </c>
      <c r="H2425" s="30">
        <f t="shared" ref="H2425:K2428" si="1147">H2426</f>
        <v>15055</v>
      </c>
      <c r="I2425" s="30">
        <f t="shared" si="1147"/>
        <v>11631.65</v>
      </c>
      <c r="J2425" s="30">
        <f t="shared" si="1147"/>
        <v>11631.65</v>
      </c>
      <c r="K2425" s="30">
        <f t="shared" si="1147"/>
        <v>9514.7857400000012</v>
      </c>
      <c r="L2425" s="30">
        <f t="shared" si="1135"/>
        <v>63.200170973098643</v>
      </c>
      <c r="M2425" s="30">
        <f t="shared" si="1136"/>
        <v>81.800825678214196</v>
      </c>
    </row>
    <row r="2426" spans="1:13">
      <c r="A2426" s="59" t="s">
        <v>16</v>
      </c>
      <c r="B2426" s="28" t="s">
        <v>69</v>
      </c>
      <c r="C2426" s="28" t="s">
        <v>17</v>
      </c>
      <c r="D2426" s="58" t="s">
        <v>0</v>
      </c>
      <c r="E2426" s="58" t="s">
        <v>0</v>
      </c>
      <c r="F2426" s="58" t="s">
        <v>0</v>
      </c>
      <c r="G2426" s="35">
        <f>G2427</f>
        <v>15055</v>
      </c>
      <c r="H2426" s="35">
        <f t="shared" si="1147"/>
        <v>15055</v>
      </c>
      <c r="I2426" s="35">
        <f t="shared" si="1147"/>
        <v>11631.65</v>
      </c>
      <c r="J2426" s="35">
        <f t="shared" si="1147"/>
        <v>11631.65</v>
      </c>
      <c r="K2426" s="35">
        <f t="shared" si="1147"/>
        <v>9514.7857400000012</v>
      </c>
      <c r="L2426" s="35">
        <f t="shared" si="1135"/>
        <v>63.200170973098643</v>
      </c>
      <c r="M2426" s="35">
        <f t="shared" si="1136"/>
        <v>81.800825678214196</v>
      </c>
    </row>
    <row r="2427" spans="1:13">
      <c r="A2427" s="59" t="s">
        <v>386</v>
      </c>
      <c r="B2427" s="28" t="s">
        <v>69</v>
      </c>
      <c r="C2427" s="28" t="s">
        <v>17</v>
      </c>
      <c r="D2427" s="28" t="s">
        <v>387</v>
      </c>
      <c r="E2427" s="58" t="s">
        <v>0</v>
      </c>
      <c r="F2427" s="58" t="s">
        <v>0</v>
      </c>
      <c r="G2427" s="35">
        <f>G2428</f>
        <v>15055</v>
      </c>
      <c r="H2427" s="35">
        <f t="shared" si="1147"/>
        <v>15055</v>
      </c>
      <c r="I2427" s="35">
        <f t="shared" si="1147"/>
        <v>11631.65</v>
      </c>
      <c r="J2427" s="35">
        <f t="shared" si="1147"/>
        <v>11631.65</v>
      </c>
      <c r="K2427" s="35">
        <f t="shared" si="1147"/>
        <v>9514.7857400000012</v>
      </c>
      <c r="L2427" s="35">
        <f t="shared" si="1135"/>
        <v>63.200170973098643</v>
      </c>
      <c r="M2427" s="35">
        <f t="shared" si="1136"/>
        <v>81.800825678214196</v>
      </c>
    </row>
    <row r="2428" spans="1:13" ht="25.5">
      <c r="A2428" s="59" t="s">
        <v>936</v>
      </c>
      <c r="B2428" s="28" t="s">
        <v>69</v>
      </c>
      <c r="C2428" s="28" t="s">
        <v>17</v>
      </c>
      <c r="D2428" s="28" t="s">
        <v>387</v>
      </c>
      <c r="E2428" s="28" t="s">
        <v>937</v>
      </c>
      <c r="F2428" s="58" t="s">
        <v>0</v>
      </c>
      <c r="G2428" s="35">
        <f>G2429</f>
        <v>15055</v>
      </c>
      <c r="H2428" s="35">
        <f t="shared" si="1147"/>
        <v>15055</v>
      </c>
      <c r="I2428" s="35">
        <f t="shared" si="1147"/>
        <v>11631.65</v>
      </c>
      <c r="J2428" s="35">
        <f t="shared" si="1147"/>
        <v>11631.65</v>
      </c>
      <c r="K2428" s="35">
        <f t="shared" si="1147"/>
        <v>9514.7857400000012</v>
      </c>
      <c r="L2428" s="35">
        <f t="shared" si="1135"/>
        <v>63.200170973098643</v>
      </c>
      <c r="M2428" s="35">
        <f t="shared" si="1136"/>
        <v>81.800825678214196</v>
      </c>
    </row>
    <row r="2429" spans="1:13" ht="25.5">
      <c r="A2429" s="59" t="s">
        <v>58</v>
      </c>
      <c r="B2429" s="28" t="s">
        <v>69</v>
      </c>
      <c r="C2429" s="28" t="s">
        <v>17</v>
      </c>
      <c r="D2429" s="28" t="s">
        <v>387</v>
      </c>
      <c r="E2429" s="28" t="s">
        <v>938</v>
      </c>
      <c r="F2429" s="58" t="s">
        <v>0</v>
      </c>
      <c r="G2429" s="35">
        <f>G2430+G2432+G2434</f>
        <v>15055</v>
      </c>
      <c r="H2429" s="35">
        <f t="shared" ref="H2429:K2429" si="1148">H2430+H2432+H2434</f>
        <v>15055</v>
      </c>
      <c r="I2429" s="35">
        <f t="shared" si="1148"/>
        <v>11631.65</v>
      </c>
      <c r="J2429" s="35">
        <f t="shared" si="1148"/>
        <v>11631.65</v>
      </c>
      <c r="K2429" s="35">
        <f t="shared" si="1148"/>
        <v>9514.7857400000012</v>
      </c>
      <c r="L2429" s="35">
        <f t="shared" si="1135"/>
        <v>63.200170973098643</v>
      </c>
      <c r="M2429" s="35">
        <f t="shared" si="1136"/>
        <v>81.800825678214196</v>
      </c>
    </row>
    <row r="2430" spans="1:13" ht="63.75">
      <c r="A2430" s="59" t="s">
        <v>60</v>
      </c>
      <c r="B2430" s="28" t="s">
        <v>69</v>
      </c>
      <c r="C2430" s="28" t="s">
        <v>17</v>
      </c>
      <c r="D2430" s="28" t="s">
        <v>387</v>
      </c>
      <c r="E2430" s="28" t="s">
        <v>938</v>
      </c>
      <c r="F2430" s="28" t="s">
        <v>61</v>
      </c>
      <c r="G2430" s="35">
        <f>G2431</f>
        <v>14510.3</v>
      </c>
      <c r="H2430" s="35">
        <f t="shared" ref="H2430:K2430" si="1149">H2431</f>
        <v>14510.3</v>
      </c>
      <c r="I2430" s="35">
        <f t="shared" si="1149"/>
        <v>11205.9</v>
      </c>
      <c r="J2430" s="35">
        <f t="shared" si="1149"/>
        <v>11205.9</v>
      </c>
      <c r="K2430" s="35">
        <f t="shared" si="1149"/>
        <v>9177.0773900000004</v>
      </c>
      <c r="L2430" s="35">
        <f t="shared" si="1135"/>
        <v>63.245262951145051</v>
      </c>
      <c r="M2430" s="35">
        <f t="shared" si="1136"/>
        <v>81.895049839816537</v>
      </c>
    </row>
    <row r="2431" spans="1:13" ht="25.5">
      <c r="A2431" s="59" t="s">
        <v>62</v>
      </c>
      <c r="B2431" s="28" t="s">
        <v>69</v>
      </c>
      <c r="C2431" s="28" t="s">
        <v>17</v>
      </c>
      <c r="D2431" s="28" t="s">
        <v>387</v>
      </c>
      <c r="E2431" s="28" t="s">
        <v>938</v>
      </c>
      <c r="F2431" s="28" t="s">
        <v>63</v>
      </c>
      <c r="G2431" s="35">
        <v>14510.3</v>
      </c>
      <c r="H2431" s="35">
        <f>11067.4+613.8+2829.1</f>
        <v>14510.3</v>
      </c>
      <c r="I2431" s="35">
        <f>8166+573.8+2466.1</f>
        <v>11205.9</v>
      </c>
      <c r="J2431" s="35">
        <f>8166+573.8+2466.1</f>
        <v>11205.9</v>
      </c>
      <c r="K2431" s="35">
        <f>6957.02659+324.8452+1895.2056</f>
        <v>9177.0773900000004</v>
      </c>
      <c r="L2431" s="35">
        <f t="shared" si="1135"/>
        <v>63.245262951145051</v>
      </c>
      <c r="M2431" s="35">
        <f t="shared" si="1136"/>
        <v>81.895049839816537</v>
      </c>
    </row>
    <row r="2432" spans="1:13" ht="25.5">
      <c r="A2432" s="59" t="s">
        <v>64</v>
      </c>
      <c r="B2432" s="28" t="s">
        <v>69</v>
      </c>
      <c r="C2432" s="28" t="s">
        <v>17</v>
      </c>
      <c r="D2432" s="28" t="s">
        <v>387</v>
      </c>
      <c r="E2432" s="28" t="s">
        <v>938</v>
      </c>
      <c r="F2432" s="28" t="s">
        <v>65</v>
      </c>
      <c r="G2432" s="35">
        <f>G2433</f>
        <v>543.70000000000005</v>
      </c>
      <c r="H2432" s="35">
        <f t="shared" ref="H2432:K2432" si="1150">H2433</f>
        <v>543.70000000000005</v>
      </c>
      <c r="I2432" s="35">
        <f t="shared" si="1150"/>
        <v>425</v>
      </c>
      <c r="J2432" s="35">
        <f t="shared" si="1150"/>
        <v>425</v>
      </c>
      <c r="K2432" s="35">
        <f t="shared" si="1150"/>
        <v>337.52834999999999</v>
      </c>
      <c r="L2432" s="35">
        <f t="shared" si="1135"/>
        <v>62.079887805775236</v>
      </c>
      <c r="M2432" s="35">
        <f t="shared" si="1136"/>
        <v>79.418435294117643</v>
      </c>
    </row>
    <row r="2433" spans="1:13" ht="25.5">
      <c r="A2433" s="59" t="s">
        <v>66</v>
      </c>
      <c r="B2433" s="28" t="s">
        <v>69</v>
      </c>
      <c r="C2433" s="28" t="s">
        <v>17</v>
      </c>
      <c r="D2433" s="28" t="s">
        <v>387</v>
      </c>
      <c r="E2433" s="28" t="s">
        <v>938</v>
      </c>
      <c r="F2433" s="28" t="s">
        <v>67</v>
      </c>
      <c r="G2433" s="35">
        <v>543.70000000000005</v>
      </c>
      <c r="H2433" s="35">
        <v>543.70000000000005</v>
      </c>
      <c r="I2433" s="35">
        <v>425</v>
      </c>
      <c r="J2433" s="35">
        <v>425</v>
      </c>
      <c r="K2433" s="35">
        <v>337.52834999999999</v>
      </c>
      <c r="L2433" s="35">
        <f t="shared" si="1135"/>
        <v>62.079887805775236</v>
      </c>
      <c r="M2433" s="35">
        <f t="shared" si="1136"/>
        <v>79.418435294117643</v>
      </c>
    </row>
    <row r="2434" spans="1:13">
      <c r="A2434" s="59" t="s">
        <v>72</v>
      </c>
      <c r="B2434" s="28" t="s">
        <v>69</v>
      </c>
      <c r="C2434" s="28" t="s">
        <v>17</v>
      </c>
      <c r="D2434" s="28" t="s">
        <v>387</v>
      </c>
      <c r="E2434" s="28" t="s">
        <v>938</v>
      </c>
      <c r="F2434" s="28" t="s">
        <v>73</v>
      </c>
      <c r="G2434" s="35">
        <f>G2435</f>
        <v>1</v>
      </c>
      <c r="H2434" s="35">
        <f t="shared" ref="H2434:K2434" si="1151">H2435</f>
        <v>1</v>
      </c>
      <c r="I2434" s="35">
        <f t="shared" si="1151"/>
        <v>0.75</v>
      </c>
      <c r="J2434" s="35">
        <f t="shared" si="1151"/>
        <v>0.75</v>
      </c>
      <c r="K2434" s="35">
        <f t="shared" si="1151"/>
        <v>0.18</v>
      </c>
      <c r="L2434" s="35">
        <f t="shared" si="1135"/>
        <v>18</v>
      </c>
      <c r="M2434" s="35">
        <f t="shared" si="1136"/>
        <v>24</v>
      </c>
    </row>
    <row r="2435" spans="1:13">
      <c r="A2435" s="59" t="s">
        <v>74</v>
      </c>
      <c r="B2435" s="28" t="s">
        <v>69</v>
      </c>
      <c r="C2435" s="28" t="s">
        <v>17</v>
      </c>
      <c r="D2435" s="28" t="s">
        <v>387</v>
      </c>
      <c r="E2435" s="28" t="s">
        <v>938</v>
      </c>
      <c r="F2435" s="28" t="s">
        <v>75</v>
      </c>
      <c r="G2435" s="35">
        <v>1</v>
      </c>
      <c r="H2435" s="35">
        <v>1</v>
      </c>
      <c r="I2435" s="35">
        <v>0.75</v>
      </c>
      <c r="J2435" s="35">
        <v>0.75</v>
      </c>
      <c r="K2435" s="35">
        <v>0.18</v>
      </c>
      <c r="L2435" s="35">
        <f t="shared" si="1135"/>
        <v>18</v>
      </c>
      <c r="M2435" s="35">
        <f t="shared" si="1136"/>
        <v>24</v>
      </c>
    </row>
    <row r="2436" spans="1:13">
      <c r="A2436" s="64" t="s">
        <v>0</v>
      </c>
      <c r="B2436" s="65" t="s">
        <v>0</v>
      </c>
      <c r="C2436" s="58" t="s">
        <v>0</v>
      </c>
      <c r="D2436" s="58" t="s">
        <v>0</v>
      </c>
      <c r="E2436" s="58" t="s">
        <v>0</v>
      </c>
      <c r="F2436" s="58" t="s">
        <v>0</v>
      </c>
      <c r="G2436" s="66" t="s">
        <v>0</v>
      </c>
      <c r="H2436" s="66" t="s">
        <v>0</v>
      </c>
      <c r="I2436" s="66" t="s">
        <v>0</v>
      </c>
      <c r="J2436" s="66" t="s">
        <v>0</v>
      </c>
      <c r="K2436" s="66" t="s">
        <v>0</v>
      </c>
      <c r="L2436" s="35"/>
      <c r="M2436" s="35"/>
    </row>
    <row r="2437" spans="1:13" ht="38.25">
      <c r="A2437" s="56" t="s">
        <v>939</v>
      </c>
      <c r="B2437" s="57" t="s">
        <v>940</v>
      </c>
      <c r="C2437" s="58" t="s">
        <v>0</v>
      </c>
      <c r="D2437" s="58" t="s">
        <v>0</v>
      </c>
      <c r="E2437" s="58" t="s">
        <v>0</v>
      </c>
      <c r="F2437" s="58" t="s">
        <v>0</v>
      </c>
      <c r="G2437" s="30">
        <f>G2438+G2571+G2582+G2620</f>
        <v>685053.5</v>
      </c>
      <c r="H2437" s="30">
        <f>H2438+H2571+H2582+H2620</f>
        <v>858490.9540400001</v>
      </c>
      <c r="I2437" s="30">
        <f>I2438+I2571+I2582+I2620</f>
        <v>703798.54510999995</v>
      </c>
      <c r="J2437" s="30">
        <f>J2438+J2571+J2582+J2620</f>
        <v>703772.94510999997</v>
      </c>
      <c r="K2437" s="30">
        <f>K2438+K2571+K2582+K2620</f>
        <v>625295.86032999994</v>
      </c>
      <c r="L2437" s="30">
        <f t="shared" si="1135"/>
        <v>72.836627734677933</v>
      </c>
      <c r="M2437" s="30">
        <f t="shared" si="1136"/>
        <v>88.845858616014837</v>
      </c>
    </row>
    <row r="2438" spans="1:13">
      <c r="A2438" s="59" t="s">
        <v>16</v>
      </c>
      <c r="B2438" s="28" t="s">
        <v>940</v>
      </c>
      <c r="C2438" s="28" t="s">
        <v>17</v>
      </c>
      <c r="D2438" s="58" t="s">
        <v>0</v>
      </c>
      <c r="E2438" s="58" t="s">
        <v>0</v>
      </c>
      <c r="F2438" s="58" t="s">
        <v>0</v>
      </c>
      <c r="G2438" s="35">
        <f>G2439+G2459+G2481</f>
        <v>500050.39999999997</v>
      </c>
      <c r="H2438" s="35">
        <f>H2439+H2459+H2481+H2445</f>
        <v>553020.46930000011</v>
      </c>
      <c r="I2438" s="35">
        <f t="shared" ref="I2438:K2438" si="1152">I2439+I2459+I2481+I2445</f>
        <v>414432.67336999997</v>
      </c>
      <c r="J2438" s="35">
        <f t="shared" si="1152"/>
        <v>414407.07337</v>
      </c>
      <c r="K2438" s="35">
        <f t="shared" si="1152"/>
        <v>397232.78160999995</v>
      </c>
      <c r="L2438" s="35">
        <f t="shared" si="1135"/>
        <v>71.829670629155473</v>
      </c>
      <c r="M2438" s="35">
        <f t="shared" si="1136"/>
        <v>95.84977419368569</v>
      </c>
    </row>
    <row r="2439" spans="1:13" ht="38.25">
      <c r="A2439" s="59" t="s">
        <v>941</v>
      </c>
      <c r="B2439" s="28" t="s">
        <v>940</v>
      </c>
      <c r="C2439" s="28" t="s">
        <v>17</v>
      </c>
      <c r="D2439" s="28" t="s">
        <v>106</v>
      </c>
      <c r="E2439" s="58" t="s">
        <v>0</v>
      </c>
      <c r="F2439" s="58" t="s">
        <v>0</v>
      </c>
      <c r="G2439" s="35">
        <f>G2440</f>
        <v>4310.5</v>
      </c>
      <c r="H2439" s="35">
        <f t="shared" ref="H2439:K2443" si="1153">H2440</f>
        <v>4310.5</v>
      </c>
      <c r="I2439" s="35">
        <f t="shared" si="1153"/>
        <v>3929</v>
      </c>
      <c r="J2439" s="35">
        <f t="shared" si="1153"/>
        <v>3929</v>
      </c>
      <c r="K2439" s="35">
        <f t="shared" si="1153"/>
        <v>3680.5896400000001</v>
      </c>
      <c r="L2439" s="35">
        <f t="shared" si="1135"/>
        <v>85.386605730193722</v>
      </c>
      <c r="M2439" s="35">
        <f t="shared" si="1136"/>
        <v>93.677516925426318</v>
      </c>
    </row>
    <row r="2440" spans="1:13" ht="51">
      <c r="A2440" s="59" t="s">
        <v>942</v>
      </c>
      <c r="B2440" s="28" t="s">
        <v>940</v>
      </c>
      <c r="C2440" s="28" t="s">
        <v>17</v>
      </c>
      <c r="D2440" s="28" t="s">
        <v>106</v>
      </c>
      <c r="E2440" s="28" t="s">
        <v>943</v>
      </c>
      <c r="F2440" s="58" t="s">
        <v>0</v>
      </c>
      <c r="G2440" s="35">
        <f>G2441</f>
        <v>4310.5</v>
      </c>
      <c r="H2440" s="35">
        <f t="shared" si="1153"/>
        <v>4310.5</v>
      </c>
      <c r="I2440" s="35">
        <f t="shared" si="1153"/>
        <v>3929</v>
      </c>
      <c r="J2440" s="35">
        <f t="shared" si="1153"/>
        <v>3929</v>
      </c>
      <c r="K2440" s="35">
        <f t="shared" si="1153"/>
        <v>3680.5896400000001</v>
      </c>
      <c r="L2440" s="35">
        <f t="shared" si="1135"/>
        <v>85.386605730193722</v>
      </c>
      <c r="M2440" s="35">
        <f t="shared" si="1136"/>
        <v>93.677516925426318</v>
      </c>
    </row>
    <row r="2441" spans="1:13">
      <c r="A2441" s="59" t="s">
        <v>944</v>
      </c>
      <c r="B2441" s="28" t="s">
        <v>940</v>
      </c>
      <c r="C2441" s="28" t="s">
        <v>17</v>
      </c>
      <c r="D2441" s="28" t="s">
        <v>106</v>
      </c>
      <c r="E2441" s="28" t="s">
        <v>945</v>
      </c>
      <c r="F2441" s="58" t="s">
        <v>0</v>
      </c>
      <c r="G2441" s="35">
        <f>G2442</f>
        <v>4310.5</v>
      </c>
      <c r="H2441" s="35">
        <f t="shared" si="1153"/>
        <v>4310.5</v>
      </c>
      <c r="I2441" s="35">
        <f t="shared" si="1153"/>
        <v>3929</v>
      </c>
      <c r="J2441" s="35">
        <f t="shared" si="1153"/>
        <v>3929</v>
      </c>
      <c r="K2441" s="35">
        <f t="shared" si="1153"/>
        <v>3680.5896400000001</v>
      </c>
      <c r="L2441" s="35">
        <f t="shared" si="1135"/>
        <v>85.386605730193722</v>
      </c>
      <c r="M2441" s="35">
        <f t="shared" si="1136"/>
        <v>93.677516925426318</v>
      </c>
    </row>
    <row r="2442" spans="1:13" ht="25.5">
      <c r="A2442" s="59" t="s">
        <v>58</v>
      </c>
      <c r="B2442" s="28" t="s">
        <v>940</v>
      </c>
      <c r="C2442" s="28" t="s">
        <v>17</v>
      </c>
      <c r="D2442" s="28" t="s">
        <v>106</v>
      </c>
      <c r="E2442" s="28" t="s">
        <v>946</v>
      </c>
      <c r="F2442" s="58" t="s">
        <v>0</v>
      </c>
      <c r="G2442" s="35">
        <f>G2443</f>
        <v>4310.5</v>
      </c>
      <c r="H2442" s="35">
        <f t="shared" si="1153"/>
        <v>4310.5</v>
      </c>
      <c r="I2442" s="35">
        <f t="shared" si="1153"/>
        <v>3929</v>
      </c>
      <c r="J2442" s="35">
        <f t="shared" si="1153"/>
        <v>3929</v>
      </c>
      <c r="K2442" s="35">
        <f t="shared" si="1153"/>
        <v>3680.5896400000001</v>
      </c>
      <c r="L2442" s="35">
        <f t="shared" si="1135"/>
        <v>85.386605730193722</v>
      </c>
      <c r="M2442" s="35">
        <f t="shared" si="1136"/>
        <v>93.677516925426318</v>
      </c>
    </row>
    <row r="2443" spans="1:13" ht="63.75">
      <c r="A2443" s="59" t="s">
        <v>60</v>
      </c>
      <c r="B2443" s="28" t="s">
        <v>940</v>
      </c>
      <c r="C2443" s="28" t="s">
        <v>17</v>
      </c>
      <c r="D2443" s="28" t="s">
        <v>106</v>
      </c>
      <c r="E2443" s="28" t="s">
        <v>946</v>
      </c>
      <c r="F2443" s="28" t="s">
        <v>61</v>
      </c>
      <c r="G2443" s="35">
        <f>G2444</f>
        <v>4310.5</v>
      </c>
      <c r="H2443" s="35">
        <f t="shared" si="1153"/>
        <v>4310.5</v>
      </c>
      <c r="I2443" s="35">
        <f t="shared" si="1153"/>
        <v>3929</v>
      </c>
      <c r="J2443" s="35">
        <f t="shared" si="1153"/>
        <v>3929</v>
      </c>
      <c r="K2443" s="35">
        <f t="shared" si="1153"/>
        <v>3680.5896400000001</v>
      </c>
      <c r="L2443" s="35">
        <f t="shared" si="1135"/>
        <v>85.386605730193722</v>
      </c>
      <c r="M2443" s="35">
        <f t="shared" si="1136"/>
        <v>93.677516925426318</v>
      </c>
    </row>
    <row r="2444" spans="1:13" ht="25.5">
      <c r="A2444" s="59" t="s">
        <v>62</v>
      </c>
      <c r="B2444" s="28" t="s">
        <v>940</v>
      </c>
      <c r="C2444" s="28" t="s">
        <v>17</v>
      </c>
      <c r="D2444" s="28" t="s">
        <v>106</v>
      </c>
      <c r="E2444" s="28" t="s">
        <v>946</v>
      </c>
      <c r="F2444" s="28" t="s">
        <v>63</v>
      </c>
      <c r="G2444" s="35">
        <v>4310.5</v>
      </c>
      <c r="H2444" s="35">
        <v>4310.5</v>
      </c>
      <c r="I2444" s="35">
        <f>3929</f>
        <v>3929</v>
      </c>
      <c r="J2444" s="35">
        <v>3929</v>
      </c>
      <c r="K2444" s="35">
        <v>3680.5896400000001</v>
      </c>
      <c r="L2444" s="35">
        <f t="shared" si="1135"/>
        <v>85.386605730193722</v>
      </c>
      <c r="M2444" s="35">
        <f t="shared" si="1136"/>
        <v>93.677516925426318</v>
      </c>
    </row>
    <row r="2445" spans="1:13" ht="51">
      <c r="A2445" s="59" t="s">
        <v>1033</v>
      </c>
      <c r="B2445" s="28" t="s">
        <v>940</v>
      </c>
      <c r="C2445" s="28" t="s">
        <v>17</v>
      </c>
      <c r="D2445" s="67" t="s">
        <v>150</v>
      </c>
      <c r="E2445" s="28"/>
      <c r="F2445" s="28"/>
      <c r="G2445" s="35"/>
      <c r="H2445" s="35">
        <f>H2446</f>
        <v>9127.0892999999996</v>
      </c>
      <c r="I2445" s="35">
        <f t="shared" ref="I2445:K2445" si="1154">I2446</f>
        <v>9127.0892999999996</v>
      </c>
      <c r="J2445" s="35">
        <f t="shared" si="1154"/>
        <v>9127.0892999999996</v>
      </c>
      <c r="K2445" s="35">
        <f t="shared" si="1154"/>
        <v>9127.0892999999996</v>
      </c>
      <c r="L2445" s="35">
        <f t="shared" si="1135"/>
        <v>100</v>
      </c>
      <c r="M2445" s="35">
        <f t="shared" si="1136"/>
        <v>100</v>
      </c>
    </row>
    <row r="2446" spans="1:13" ht="55.5" customHeight="1">
      <c r="A2446" s="59" t="s">
        <v>1193</v>
      </c>
      <c r="B2446" s="28" t="s">
        <v>940</v>
      </c>
      <c r="C2446" s="28" t="s">
        <v>17</v>
      </c>
      <c r="D2446" s="67" t="s">
        <v>150</v>
      </c>
      <c r="E2446" s="29" t="s">
        <v>1192</v>
      </c>
      <c r="F2446" s="28"/>
      <c r="G2446" s="35"/>
      <c r="H2446" s="35">
        <f>H2447+H2453</f>
        <v>9127.0892999999996</v>
      </c>
      <c r="I2446" s="35">
        <f t="shared" ref="I2446:K2446" si="1155">I2447+I2453</f>
        <v>9127.0892999999996</v>
      </c>
      <c r="J2446" s="35">
        <f t="shared" si="1155"/>
        <v>9127.0892999999996</v>
      </c>
      <c r="K2446" s="35">
        <f t="shared" si="1155"/>
        <v>9127.0892999999996</v>
      </c>
      <c r="L2446" s="35">
        <f t="shared" si="1135"/>
        <v>100</v>
      </c>
      <c r="M2446" s="35">
        <f t="shared" si="1136"/>
        <v>100</v>
      </c>
    </row>
    <row r="2447" spans="1:13" ht="26.25" customHeight="1">
      <c r="A2447" s="59" t="s">
        <v>1195</v>
      </c>
      <c r="B2447" s="28" t="s">
        <v>940</v>
      </c>
      <c r="C2447" s="28" t="s">
        <v>17</v>
      </c>
      <c r="D2447" s="67" t="s">
        <v>150</v>
      </c>
      <c r="E2447" s="29" t="s">
        <v>1194</v>
      </c>
      <c r="F2447" s="28"/>
      <c r="G2447" s="35"/>
      <c r="H2447" s="35">
        <f>H2448</f>
        <v>5863.8861900000002</v>
      </c>
      <c r="I2447" s="35">
        <f t="shared" ref="I2447:K2447" si="1156">I2448</f>
        <v>5863.8861900000002</v>
      </c>
      <c r="J2447" s="35">
        <f t="shared" si="1156"/>
        <v>5863.8861900000002</v>
      </c>
      <c r="K2447" s="35">
        <f t="shared" si="1156"/>
        <v>5863.8861900000002</v>
      </c>
      <c r="L2447" s="35">
        <f t="shared" si="1135"/>
        <v>100</v>
      </c>
      <c r="M2447" s="35">
        <f t="shared" si="1136"/>
        <v>100</v>
      </c>
    </row>
    <row r="2448" spans="1:13" ht="32.25" customHeight="1">
      <c r="A2448" s="59" t="s">
        <v>1197</v>
      </c>
      <c r="B2448" s="28" t="s">
        <v>940</v>
      </c>
      <c r="C2448" s="28" t="s">
        <v>17</v>
      </c>
      <c r="D2448" s="67" t="s">
        <v>150</v>
      </c>
      <c r="E2448" s="29" t="s">
        <v>1196</v>
      </c>
      <c r="F2448" s="28"/>
      <c r="G2448" s="35"/>
      <c r="H2448" s="35">
        <f>H2449+H2451</f>
        <v>5863.8861900000002</v>
      </c>
      <c r="I2448" s="35">
        <f t="shared" ref="I2448:K2448" si="1157">I2449+I2451</f>
        <v>5863.8861900000002</v>
      </c>
      <c r="J2448" s="35">
        <f t="shared" si="1157"/>
        <v>5863.8861900000002</v>
      </c>
      <c r="K2448" s="35">
        <f t="shared" si="1157"/>
        <v>5863.8861900000002</v>
      </c>
      <c r="L2448" s="35">
        <f t="shared" si="1135"/>
        <v>100</v>
      </c>
      <c r="M2448" s="35">
        <f t="shared" si="1136"/>
        <v>100</v>
      </c>
    </row>
    <row r="2449" spans="1:13" ht="63.75">
      <c r="A2449" s="59" t="s">
        <v>60</v>
      </c>
      <c r="B2449" s="28" t="s">
        <v>940</v>
      </c>
      <c r="C2449" s="28" t="s">
        <v>17</v>
      </c>
      <c r="D2449" s="67" t="s">
        <v>150</v>
      </c>
      <c r="E2449" s="29" t="s">
        <v>1196</v>
      </c>
      <c r="F2449" s="28">
        <v>100</v>
      </c>
      <c r="G2449" s="35"/>
      <c r="H2449" s="35">
        <f>H2450</f>
        <v>5308.4117900000001</v>
      </c>
      <c r="I2449" s="35">
        <f t="shared" ref="I2449:K2449" si="1158">I2450</f>
        <v>5308.4117900000001</v>
      </c>
      <c r="J2449" s="35">
        <f t="shared" si="1158"/>
        <v>5308.4117900000001</v>
      </c>
      <c r="K2449" s="35">
        <f t="shared" si="1158"/>
        <v>5308.4117900000001</v>
      </c>
      <c r="L2449" s="35">
        <f t="shared" si="1135"/>
        <v>100</v>
      </c>
      <c r="M2449" s="35">
        <f t="shared" si="1136"/>
        <v>100</v>
      </c>
    </row>
    <row r="2450" spans="1:13" ht="25.5">
      <c r="A2450" s="59" t="s">
        <v>62</v>
      </c>
      <c r="B2450" s="28" t="s">
        <v>940</v>
      </c>
      <c r="C2450" s="28" t="s">
        <v>17</v>
      </c>
      <c r="D2450" s="67" t="s">
        <v>150</v>
      </c>
      <c r="E2450" s="29" t="s">
        <v>1196</v>
      </c>
      <c r="F2450" s="28">
        <v>120</v>
      </c>
      <c r="G2450" s="35"/>
      <c r="H2450" s="35">
        <f>3937.27974+215.599+1155.53305</f>
        <v>5308.4117900000001</v>
      </c>
      <c r="I2450" s="35">
        <f>3937.27974+215.599+1155.53305</f>
        <v>5308.4117900000001</v>
      </c>
      <c r="J2450" s="35">
        <f>3937.27974+215.599+1155.53305</f>
        <v>5308.4117900000001</v>
      </c>
      <c r="K2450" s="35">
        <f>3937.27974+215.599+1155.53305</f>
        <v>5308.4117900000001</v>
      </c>
      <c r="L2450" s="35">
        <f t="shared" si="1135"/>
        <v>100</v>
      </c>
      <c r="M2450" s="35">
        <f t="shared" si="1136"/>
        <v>100</v>
      </c>
    </row>
    <row r="2451" spans="1:13" ht="25.5">
      <c r="A2451" s="59" t="s">
        <v>64</v>
      </c>
      <c r="B2451" s="28" t="s">
        <v>940</v>
      </c>
      <c r="C2451" s="28" t="s">
        <v>17</v>
      </c>
      <c r="D2451" s="67" t="s">
        <v>150</v>
      </c>
      <c r="E2451" s="29" t="s">
        <v>1196</v>
      </c>
      <c r="F2451" s="28">
        <v>200</v>
      </c>
      <c r="G2451" s="35"/>
      <c r="H2451" s="35">
        <f>H2452</f>
        <v>555.47439999999995</v>
      </c>
      <c r="I2451" s="35">
        <f t="shared" ref="I2451:K2451" si="1159">I2452</f>
        <v>555.47439999999995</v>
      </c>
      <c r="J2451" s="35">
        <f t="shared" si="1159"/>
        <v>555.47439999999995</v>
      </c>
      <c r="K2451" s="35">
        <f t="shared" si="1159"/>
        <v>555.47439999999995</v>
      </c>
      <c r="L2451" s="35">
        <f t="shared" si="1135"/>
        <v>100</v>
      </c>
      <c r="M2451" s="35">
        <f t="shared" si="1136"/>
        <v>100</v>
      </c>
    </row>
    <row r="2452" spans="1:13" ht="25.5">
      <c r="A2452" s="59" t="s">
        <v>66</v>
      </c>
      <c r="B2452" s="28" t="s">
        <v>940</v>
      </c>
      <c r="C2452" s="28" t="s">
        <v>17</v>
      </c>
      <c r="D2452" s="67" t="s">
        <v>150</v>
      </c>
      <c r="E2452" s="29" t="s">
        <v>1196</v>
      </c>
      <c r="F2452" s="28">
        <v>240</v>
      </c>
      <c r="G2452" s="35"/>
      <c r="H2452" s="35">
        <v>555.47439999999995</v>
      </c>
      <c r="I2452" s="35">
        <v>555.47439999999995</v>
      </c>
      <c r="J2452" s="35">
        <v>555.47439999999995</v>
      </c>
      <c r="K2452" s="35">
        <v>555.47439999999995</v>
      </c>
      <c r="L2452" s="35">
        <f t="shared" si="1135"/>
        <v>100</v>
      </c>
      <c r="M2452" s="35">
        <f t="shared" si="1136"/>
        <v>100</v>
      </c>
    </row>
    <row r="2453" spans="1:13" ht="24.75" customHeight="1">
      <c r="A2453" s="59" t="s">
        <v>1199</v>
      </c>
      <c r="B2453" s="28" t="s">
        <v>940</v>
      </c>
      <c r="C2453" s="28" t="s">
        <v>17</v>
      </c>
      <c r="D2453" s="67" t="s">
        <v>150</v>
      </c>
      <c r="E2453" s="29" t="s">
        <v>1198</v>
      </c>
      <c r="F2453" s="28"/>
      <c r="G2453" s="35"/>
      <c r="H2453" s="35">
        <f>H2454</f>
        <v>3263.2031099999999</v>
      </c>
      <c r="I2453" s="35">
        <f t="shared" ref="I2453:K2453" si="1160">I2454</f>
        <v>3263.2031099999999</v>
      </c>
      <c r="J2453" s="35">
        <f t="shared" si="1160"/>
        <v>3263.2031099999999</v>
      </c>
      <c r="K2453" s="35">
        <f t="shared" si="1160"/>
        <v>3263.2031099999999</v>
      </c>
      <c r="L2453" s="35">
        <f t="shared" si="1135"/>
        <v>100</v>
      </c>
      <c r="M2453" s="35">
        <f t="shared" si="1136"/>
        <v>100</v>
      </c>
    </row>
    <row r="2454" spans="1:13" ht="29.25" customHeight="1">
      <c r="A2454" s="59" t="s">
        <v>1201</v>
      </c>
      <c r="B2454" s="28" t="s">
        <v>940</v>
      </c>
      <c r="C2454" s="28" t="s">
        <v>17</v>
      </c>
      <c r="D2454" s="67" t="s">
        <v>150</v>
      </c>
      <c r="E2454" s="29" t="s">
        <v>1200</v>
      </c>
      <c r="F2454" s="28"/>
      <c r="G2454" s="35"/>
      <c r="H2454" s="35">
        <f>H2455+H2457</f>
        <v>3263.2031099999999</v>
      </c>
      <c r="I2454" s="35">
        <f t="shared" ref="I2454:K2454" si="1161">I2455+I2457</f>
        <v>3263.2031099999999</v>
      </c>
      <c r="J2454" s="35">
        <f t="shared" si="1161"/>
        <v>3263.2031099999999</v>
      </c>
      <c r="K2454" s="35">
        <f t="shared" si="1161"/>
        <v>3263.2031099999999</v>
      </c>
      <c r="L2454" s="35">
        <f t="shared" si="1135"/>
        <v>100</v>
      </c>
      <c r="M2454" s="35">
        <f t="shared" si="1136"/>
        <v>100</v>
      </c>
    </row>
    <row r="2455" spans="1:13" ht="63.75">
      <c r="A2455" s="59" t="s">
        <v>60</v>
      </c>
      <c r="B2455" s="28" t="s">
        <v>940</v>
      </c>
      <c r="C2455" s="28" t="s">
        <v>17</v>
      </c>
      <c r="D2455" s="67" t="s">
        <v>150</v>
      </c>
      <c r="E2455" s="29" t="s">
        <v>1200</v>
      </c>
      <c r="F2455" s="28">
        <v>100</v>
      </c>
      <c r="G2455" s="35"/>
      <c r="H2455" s="35">
        <f>H2456</f>
        <v>3028.7854899999998</v>
      </c>
      <c r="I2455" s="35">
        <f t="shared" ref="I2455:K2455" si="1162">I2456</f>
        <v>3028.7854899999998</v>
      </c>
      <c r="J2455" s="35">
        <f t="shared" si="1162"/>
        <v>3028.7854899999998</v>
      </c>
      <c r="K2455" s="35">
        <f t="shared" si="1162"/>
        <v>3028.7854899999998</v>
      </c>
      <c r="L2455" s="35">
        <f t="shared" si="1135"/>
        <v>100</v>
      </c>
      <c r="M2455" s="35">
        <f t="shared" si="1136"/>
        <v>100</v>
      </c>
    </row>
    <row r="2456" spans="1:13" ht="25.5">
      <c r="A2456" s="59" t="s">
        <v>62</v>
      </c>
      <c r="B2456" s="28" t="s">
        <v>940</v>
      </c>
      <c r="C2456" s="28" t="s">
        <v>17</v>
      </c>
      <c r="D2456" s="67" t="s">
        <v>150</v>
      </c>
      <c r="E2456" s="29" t="s">
        <v>1200</v>
      </c>
      <c r="F2456" s="28">
        <v>120</v>
      </c>
      <c r="G2456" s="35"/>
      <c r="H2456" s="35">
        <f>2317.61154+16+695.17395</f>
        <v>3028.7854899999998</v>
      </c>
      <c r="I2456" s="35">
        <f>2317.61154+16+695.17395</f>
        <v>3028.7854899999998</v>
      </c>
      <c r="J2456" s="35">
        <f>2317.61154+16+695.17395</f>
        <v>3028.7854899999998</v>
      </c>
      <c r="K2456" s="35">
        <f>2317.61154+16+695.17395</f>
        <v>3028.7854899999998</v>
      </c>
      <c r="L2456" s="35">
        <f t="shared" si="1135"/>
        <v>100</v>
      </c>
      <c r="M2456" s="35">
        <f t="shared" si="1136"/>
        <v>100</v>
      </c>
    </row>
    <row r="2457" spans="1:13" ht="25.5">
      <c r="A2457" s="59" t="s">
        <v>64</v>
      </c>
      <c r="B2457" s="28" t="s">
        <v>940</v>
      </c>
      <c r="C2457" s="28" t="s">
        <v>17</v>
      </c>
      <c r="D2457" s="67" t="s">
        <v>150</v>
      </c>
      <c r="E2457" s="29" t="s">
        <v>1200</v>
      </c>
      <c r="F2457" s="28">
        <v>200</v>
      </c>
      <c r="G2457" s="35"/>
      <c r="H2457" s="35">
        <f>H2458</f>
        <v>234.41762</v>
      </c>
      <c r="I2457" s="35">
        <f t="shared" ref="I2457:K2457" si="1163">I2458</f>
        <v>234.41762</v>
      </c>
      <c r="J2457" s="35">
        <f t="shared" si="1163"/>
        <v>234.41762</v>
      </c>
      <c r="K2457" s="35">
        <f t="shared" si="1163"/>
        <v>234.41762</v>
      </c>
      <c r="L2457" s="35">
        <f t="shared" si="1135"/>
        <v>100</v>
      </c>
      <c r="M2457" s="35">
        <f t="shared" si="1136"/>
        <v>100</v>
      </c>
    </row>
    <row r="2458" spans="1:13" ht="25.5">
      <c r="A2458" s="59" t="s">
        <v>66</v>
      </c>
      <c r="B2458" s="28" t="s">
        <v>940</v>
      </c>
      <c r="C2458" s="28" t="s">
        <v>17</v>
      </c>
      <c r="D2458" s="67" t="s">
        <v>150</v>
      </c>
      <c r="E2458" s="29" t="s">
        <v>1200</v>
      </c>
      <c r="F2458" s="28">
        <v>240</v>
      </c>
      <c r="G2458" s="35"/>
      <c r="H2458" s="35">
        <v>234.41762</v>
      </c>
      <c r="I2458" s="35">
        <v>234.41762</v>
      </c>
      <c r="J2458" s="35">
        <v>234.41762</v>
      </c>
      <c r="K2458" s="35">
        <v>234.41762</v>
      </c>
      <c r="L2458" s="35">
        <f t="shared" si="1135"/>
        <v>100</v>
      </c>
      <c r="M2458" s="35">
        <f t="shared" si="1136"/>
        <v>100</v>
      </c>
    </row>
    <row r="2459" spans="1:13" ht="51">
      <c r="A2459" s="59" t="s">
        <v>18</v>
      </c>
      <c r="B2459" s="28" t="s">
        <v>940</v>
      </c>
      <c r="C2459" s="28" t="s">
        <v>17</v>
      </c>
      <c r="D2459" s="28" t="s">
        <v>19</v>
      </c>
      <c r="E2459" s="58" t="s">
        <v>0</v>
      </c>
      <c r="F2459" s="58" t="s">
        <v>0</v>
      </c>
      <c r="G2459" s="35">
        <f>G2460+G2476</f>
        <v>210013.8</v>
      </c>
      <c r="H2459" s="35">
        <f t="shared" ref="H2459:K2459" si="1164">H2460+H2476</f>
        <v>243156.34612</v>
      </c>
      <c r="I2459" s="35">
        <f t="shared" si="1164"/>
        <v>182926.25200000001</v>
      </c>
      <c r="J2459" s="35">
        <f t="shared" si="1164"/>
        <v>182901.25200000001</v>
      </c>
      <c r="K2459" s="35">
        <f t="shared" si="1164"/>
        <v>178228.87512999997</v>
      </c>
      <c r="L2459" s="35">
        <f t="shared" si="1135"/>
        <v>73.298056157679852</v>
      </c>
      <c r="M2459" s="35">
        <f t="shared" si="1136"/>
        <v>97.432092540768807</v>
      </c>
    </row>
    <row r="2460" spans="1:13" ht="38.25">
      <c r="A2460" s="59" t="s">
        <v>734</v>
      </c>
      <c r="B2460" s="28" t="s">
        <v>940</v>
      </c>
      <c r="C2460" s="28" t="s">
        <v>17</v>
      </c>
      <c r="D2460" s="28" t="s">
        <v>19</v>
      </c>
      <c r="E2460" s="28" t="s">
        <v>735</v>
      </c>
      <c r="F2460" s="58" t="s">
        <v>0</v>
      </c>
      <c r="G2460" s="35">
        <f>G2461</f>
        <v>189498.8</v>
      </c>
      <c r="H2460" s="35">
        <f t="shared" ref="H2460:K2460" si="1165">H2461</f>
        <v>222641.34612</v>
      </c>
      <c r="I2460" s="35">
        <f t="shared" si="1165"/>
        <v>167760.25200000001</v>
      </c>
      <c r="J2460" s="35">
        <f t="shared" si="1165"/>
        <v>167735.25200000001</v>
      </c>
      <c r="K2460" s="35">
        <f t="shared" si="1165"/>
        <v>163328.71856999997</v>
      </c>
      <c r="L2460" s="35">
        <f t="shared" si="1135"/>
        <v>73.359562999573541</v>
      </c>
      <c r="M2460" s="35">
        <f t="shared" si="1136"/>
        <v>97.358412748450064</v>
      </c>
    </row>
    <row r="2461" spans="1:13" ht="38.25">
      <c r="A2461" s="59" t="s">
        <v>736</v>
      </c>
      <c r="B2461" s="28" t="s">
        <v>940</v>
      </c>
      <c r="C2461" s="28" t="s">
        <v>17</v>
      </c>
      <c r="D2461" s="28" t="s">
        <v>19</v>
      </c>
      <c r="E2461" s="28" t="s">
        <v>737</v>
      </c>
      <c r="F2461" s="58" t="s">
        <v>0</v>
      </c>
      <c r="G2461" s="35">
        <f>G2462+G2471</f>
        <v>189498.8</v>
      </c>
      <c r="H2461" s="35">
        <f t="shared" ref="H2461:K2461" si="1166">H2462+H2471</f>
        <v>222641.34612</v>
      </c>
      <c r="I2461" s="35">
        <f t="shared" si="1166"/>
        <v>167760.25200000001</v>
      </c>
      <c r="J2461" s="35">
        <f t="shared" si="1166"/>
        <v>167735.25200000001</v>
      </c>
      <c r="K2461" s="35">
        <f t="shared" si="1166"/>
        <v>163328.71856999997</v>
      </c>
      <c r="L2461" s="35">
        <f t="shared" si="1135"/>
        <v>73.359562999573541</v>
      </c>
      <c r="M2461" s="35">
        <f t="shared" si="1136"/>
        <v>97.358412748450064</v>
      </c>
    </row>
    <row r="2462" spans="1:13" ht="25.5">
      <c r="A2462" s="59" t="s">
        <v>58</v>
      </c>
      <c r="B2462" s="28" t="s">
        <v>940</v>
      </c>
      <c r="C2462" s="28" t="s">
        <v>17</v>
      </c>
      <c r="D2462" s="28" t="s">
        <v>19</v>
      </c>
      <c r="E2462" s="28" t="s">
        <v>738</v>
      </c>
      <c r="F2462" s="58" t="s">
        <v>0</v>
      </c>
      <c r="G2462" s="35">
        <f>G2463+G2465+G2469</f>
        <v>181350.9</v>
      </c>
      <c r="H2462" s="35">
        <f>H2463+H2465+H2469+H2467</f>
        <v>214506.18174999999</v>
      </c>
      <c r="I2462" s="35">
        <f t="shared" ref="I2462:K2462" si="1167">I2463+I2465+I2469+I2467</f>
        <v>163735.25200000001</v>
      </c>
      <c r="J2462" s="35">
        <f t="shared" si="1167"/>
        <v>163735.25200000001</v>
      </c>
      <c r="K2462" s="35">
        <f t="shared" si="1167"/>
        <v>159612.04656999998</v>
      </c>
      <c r="L2462" s="35">
        <f t="shared" si="1135"/>
        <v>74.409066101424827</v>
      </c>
      <c r="M2462" s="35">
        <f t="shared" si="1136"/>
        <v>97.481785150335227</v>
      </c>
    </row>
    <row r="2463" spans="1:13" ht="63.75">
      <c r="A2463" s="59" t="s">
        <v>60</v>
      </c>
      <c r="B2463" s="28" t="s">
        <v>940</v>
      </c>
      <c r="C2463" s="28" t="s">
        <v>17</v>
      </c>
      <c r="D2463" s="28" t="s">
        <v>19</v>
      </c>
      <c r="E2463" s="28" t="s">
        <v>738</v>
      </c>
      <c r="F2463" s="28" t="s">
        <v>61</v>
      </c>
      <c r="G2463" s="35">
        <f>G2464</f>
        <v>144246.9</v>
      </c>
      <c r="H2463" s="35">
        <f t="shared" ref="H2463:K2463" si="1168">H2464</f>
        <v>177067.18192</v>
      </c>
      <c r="I2463" s="35">
        <f t="shared" si="1168"/>
        <v>133671.00200000001</v>
      </c>
      <c r="J2463" s="35">
        <f t="shared" si="1168"/>
        <v>133671.00200000001</v>
      </c>
      <c r="K2463" s="35">
        <f t="shared" si="1168"/>
        <v>129604.78917999999</v>
      </c>
      <c r="L2463" s="35">
        <f t="shared" si="1135"/>
        <v>73.195262823212602</v>
      </c>
      <c r="M2463" s="35">
        <f t="shared" si="1136"/>
        <v>96.958044183734017</v>
      </c>
    </row>
    <row r="2464" spans="1:13" ht="25.5">
      <c r="A2464" s="59" t="s">
        <v>62</v>
      </c>
      <c r="B2464" s="28" t="s">
        <v>940</v>
      </c>
      <c r="C2464" s="28" t="s">
        <v>17</v>
      </c>
      <c r="D2464" s="28" t="s">
        <v>19</v>
      </c>
      <c r="E2464" s="28" t="s">
        <v>738</v>
      </c>
      <c r="F2464" s="28" t="s">
        <v>63</v>
      </c>
      <c r="G2464" s="35">
        <v>144246.9</v>
      </c>
      <c r="H2464" s="35">
        <f>130221.43297+9398.23+37447.51895</f>
        <v>177067.18192</v>
      </c>
      <c r="I2464" s="35">
        <f>97624.742+7373.22+28673.04</f>
        <v>133671.00200000001</v>
      </c>
      <c r="J2464" s="35">
        <f>97624.742+7373.22+28673.04</f>
        <v>133671.00200000001</v>
      </c>
      <c r="K2464" s="35">
        <f>94011.77354+7337.63738+28255.37826</f>
        <v>129604.78917999999</v>
      </c>
      <c r="L2464" s="35">
        <f t="shared" si="1135"/>
        <v>73.195262823212602</v>
      </c>
      <c r="M2464" s="35">
        <f t="shared" si="1136"/>
        <v>96.958044183734017</v>
      </c>
    </row>
    <row r="2465" spans="1:13" ht="25.5">
      <c r="A2465" s="59" t="s">
        <v>64</v>
      </c>
      <c r="B2465" s="28" t="s">
        <v>940</v>
      </c>
      <c r="C2465" s="28" t="s">
        <v>17</v>
      </c>
      <c r="D2465" s="28" t="s">
        <v>19</v>
      </c>
      <c r="E2465" s="28" t="s">
        <v>738</v>
      </c>
      <c r="F2465" s="28" t="s">
        <v>65</v>
      </c>
      <c r="G2465" s="35">
        <f>G2466</f>
        <v>36906</v>
      </c>
      <c r="H2465" s="35">
        <f t="shared" ref="H2465:K2465" si="1169">H2466</f>
        <v>37210.999830000001</v>
      </c>
      <c r="I2465" s="35">
        <f t="shared" si="1169"/>
        <v>29885.75</v>
      </c>
      <c r="J2465" s="35">
        <f t="shared" si="1169"/>
        <v>29885.75</v>
      </c>
      <c r="K2465" s="35">
        <f t="shared" si="1169"/>
        <v>29884.270390000001</v>
      </c>
      <c r="L2465" s="35">
        <f t="shared" si="1135"/>
        <v>80.310312882017499</v>
      </c>
      <c r="M2465" s="35">
        <f t="shared" si="1136"/>
        <v>99.995049112035005</v>
      </c>
    </row>
    <row r="2466" spans="1:13" ht="25.5">
      <c r="A2466" s="59" t="s">
        <v>66</v>
      </c>
      <c r="B2466" s="28" t="s">
        <v>940</v>
      </c>
      <c r="C2466" s="28" t="s">
        <v>17</v>
      </c>
      <c r="D2466" s="28" t="s">
        <v>19</v>
      </c>
      <c r="E2466" s="28" t="s">
        <v>738</v>
      </c>
      <c r="F2466" s="28" t="s">
        <v>67</v>
      </c>
      <c r="G2466" s="35">
        <v>36906</v>
      </c>
      <c r="H2466" s="35">
        <v>37210.999830000001</v>
      </c>
      <c r="I2466" s="35">
        <v>29885.75</v>
      </c>
      <c r="J2466" s="35">
        <v>29885.75</v>
      </c>
      <c r="K2466" s="35">
        <v>29884.270390000001</v>
      </c>
      <c r="L2466" s="35">
        <f t="shared" si="1135"/>
        <v>80.310312882017499</v>
      </c>
      <c r="M2466" s="35">
        <f t="shared" si="1136"/>
        <v>99.995049112035005</v>
      </c>
    </row>
    <row r="2467" spans="1:13" s="92" customFormat="1">
      <c r="A2467" s="8" t="s">
        <v>68</v>
      </c>
      <c r="B2467" s="28" t="s">
        <v>940</v>
      </c>
      <c r="C2467" s="28" t="s">
        <v>17</v>
      </c>
      <c r="D2467" s="28" t="s">
        <v>19</v>
      </c>
      <c r="E2467" s="28" t="s">
        <v>738</v>
      </c>
      <c r="F2467" s="28">
        <v>300</v>
      </c>
      <c r="G2467" s="35"/>
      <c r="H2467" s="35">
        <f>H2468</f>
        <v>30</v>
      </c>
      <c r="I2467" s="35">
        <f t="shared" ref="I2467:J2467" si="1170">I2468</f>
        <v>30</v>
      </c>
      <c r="J2467" s="35">
        <f t="shared" si="1170"/>
        <v>30</v>
      </c>
      <c r="K2467" s="35">
        <f>K2468</f>
        <v>30</v>
      </c>
      <c r="L2467" s="35">
        <f t="shared" ref="L2467:L2530" si="1171">K2467/H2467*100</f>
        <v>100</v>
      </c>
      <c r="M2467" s="35">
        <f t="shared" ref="M2467:M2530" si="1172">K2467/I2467*100</f>
        <v>100</v>
      </c>
    </row>
    <row r="2468" spans="1:13" s="92" customFormat="1">
      <c r="A2468" s="8" t="s">
        <v>70</v>
      </c>
      <c r="B2468" s="28" t="s">
        <v>940</v>
      </c>
      <c r="C2468" s="28" t="s">
        <v>17</v>
      </c>
      <c r="D2468" s="28" t="s">
        <v>19</v>
      </c>
      <c r="E2468" s="28" t="s">
        <v>738</v>
      </c>
      <c r="F2468" s="28">
        <v>360</v>
      </c>
      <c r="G2468" s="35"/>
      <c r="H2468" s="35">
        <v>30</v>
      </c>
      <c r="I2468" s="35">
        <v>30</v>
      </c>
      <c r="J2468" s="35">
        <v>30</v>
      </c>
      <c r="K2468" s="35">
        <v>30</v>
      </c>
      <c r="L2468" s="35">
        <f t="shared" si="1171"/>
        <v>100</v>
      </c>
      <c r="M2468" s="35">
        <f t="shared" si="1172"/>
        <v>100</v>
      </c>
    </row>
    <row r="2469" spans="1:13">
      <c r="A2469" s="59" t="s">
        <v>72</v>
      </c>
      <c r="B2469" s="28" t="s">
        <v>940</v>
      </c>
      <c r="C2469" s="28" t="s">
        <v>17</v>
      </c>
      <c r="D2469" s="28" t="s">
        <v>19</v>
      </c>
      <c r="E2469" s="28" t="s">
        <v>738</v>
      </c>
      <c r="F2469" s="28" t="s">
        <v>73</v>
      </c>
      <c r="G2469" s="35">
        <f>G2470</f>
        <v>198</v>
      </c>
      <c r="H2469" s="35">
        <f t="shared" ref="H2469:K2469" si="1173">H2470</f>
        <v>198</v>
      </c>
      <c r="I2469" s="35">
        <f t="shared" si="1173"/>
        <v>148.5</v>
      </c>
      <c r="J2469" s="35">
        <f t="shared" si="1173"/>
        <v>148.5</v>
      </c>
      <c r="K2469" s="35">
        <f t="shared" si="1173"/>
        <v>92.986999999999995</v>
      </c>
      <c r="L2469" s="35">
        <f t="shared" si="1171"/>
        <v>46.963131313131314</v>
      </c>
      <c r="M2469" s="35">
        <f t="shared" si="1172"/>
        <v>62.617508417508418</v>
      </c>
    </row>
    <row r="2470" spans="1:13">
      <c r="A2470" s="59" t="s">
        <v>74</v>
      </c>
      <c r="B2470" s="28" t="s">
        <v>940</v>
      </c>
      <c r="C2470" s="28" t="s">
        <v>17</v>
      </c>
      <c r="D2470" s="28" t="s">
        <v>19</v>
      </c>
      <c r="E2470" s="28" t="s">
        <v>738</v>
      </c>
      <c r="F2470" s="28" t="s">
        <v>75</v>
      </c>
      <c r="G2470" s="35">
        <v>198</v>
      </c>
      <c r="H2470" s="35">
        <v>198</v>
      </c>
      <c r="I2470" s="35">
        <v>148.5</v>
      </c>
      <c r="J2470" s="35">
        <v>148.5</v>
      </c>
      <c r="K2470" s="35">
        <v>92.986999999999995</v>
      </c>
      <c r="L2470" s="35">
        <f t="shared" si="1171"/>
        <v>46.963131313131314</v>
      </c>
      <c r="M2470" s="35">
        <f t="shared" si="1172"/>
        <v>62.617508417508418</v>
      </c>
    </row>
    <row r="2471" spans="1:13">
      <c r="A2471" s="59" t="s">
        <v>609</v>
      </c>
      <c r="B2471" s="28" t="s">
        <v>940</v>
      </c>
      <c r="C2471" s="28" t="s">
        <v>17</v>
      </c>
      <c r="D2471" s="28" t="s">
        <v>19</v>
      </c>
      <c r="E2471" s="28" t="s">
        <v>947</v>
      </c>
      <c r="F2471" s="58" t="s">
        <v>0</v>
      </c>
      <c r="G2471" s="35">
        <f>G2472+G2474</f>
        <v>8147.9</v>
      </c>
      <c r="H2471" s="35">
        <f t="shared" ref="H2471:K2471" si="1174">H2472+H2474</f>
        <v>8135.1643700000004</v>
      </c>
      <c r="I2471" s="35">
        <f t="shared" si="1174"/>
        <v>4025</v>
      </c>
      <c r="J2471" s="35">
        <f t="shared" si="1174"/>
        <v>4000</v>
      </c>
      <c r="K2471" s="35">
        <f t="shared" si="1174"/>
        <v>3716.672</v>
      </c>
      <c r="L2471" s="35">
        <f t="shared" si="1171"/>
        <v>45.686501599229516</v>
      </c>
      <c r="M2471" s="35">
        <f t="shared" si="1172"/>
        <v>92.339677018633537</v>
      </c>
    </row>
    <row r="2472" spans="1:13" ht="25.5">
      <c r="A2472" s="59" t="s">
        <v>64</v>
      </c>
      <c r="B2472" s="28" t="s">
        <v>940</v>
      </c>
      <c r="C2472" s="28" t="s">
        <v>17</v>
      </c>
      <c r="D2472" s="28" t="s">
        <v>19</v>
      </c>
      <c r="E2472" s="28" t="s">
        <v>947</v>
      </c>
      <c r="F2472" s="28" t="s">
        <v>65</v>
      </c>
      <c r="G2472" s="35">
        <f>G2473</f>
        <v>8122.9</v>
      </c>
      <c r="H2472" s="35">
        <f t="shared" ref="H2472:K2472" si="1175">H2473</f>
        <v>8110.1643700000004</v>
      </c>
      <c r="I2472" s="35">
        <f t="shared" si="1175"/>
        <v>4000</v>
      </c>
      <c r="J2472" s="35">
        <f t="shared" si="1175"/>
        <v>4000</v>
      </c>
      <c r="K2472" s="35">
        <f t="shared" si="1175"/>
        <v>3716.672</v>
      </c>
      <c r="L2472" s="35">
        <f t="shared" si="1171"/>
        <v>45.827332596959437</v>
      </c>
      <c r="M2472" s="35">
        <f t="shared" si="1172"/>
        <v>92.916799999999995</v>
      </c>
    </row>
    <row r="2473" spans="1:13" ht="25.5">
      <c r="A2473" s="59" t="s">
        <v>66</v>
      </c>
      <c r="B2473" s="28" t="s">
        <v>940</v>
      </c>
      <c r="C2473" s="28" t="s">
        <v>17</v>
      </c>
      <c r="D2473" s="28" t="s">
        <v>19</v>
      </c>
      <c r="E2473" s="28" t="s">
        <v>947</v>
      </c>
      <c r="F2473" s="28" t="s">
        <v>67</v>
      </c>
      <c r="G2473" s="35">
        <v>8122.9</v>
      </c>
      <c r="H2473" s="35">
        <v>8110.1643700000004</v>
      </c>
      <c r="I2473" s="35">
        <v>4000</v>
      </c>
      <c r="J2473" s="35">
        <v>4000</v>
      </c>
      <c r="K2473" s="35">
        <v>3716.672</v>
      </c>
      <c r="L2473" s="35">
        <f t="shared" si="1171"/>
        <v>45.827332596959437</v>
      </c>
      <c r="M2473" s="35">
        <f t="shared" si="1172"/>
        <v>92.916799999999995</v>
      </c>
    </row>
    <row r="2474" spans="1:13" s="88" customFormat="1">
      <c r="A2474" s="59" t="s">
        <v>72</v>
      </c>
      <c r="B2474" s="28" t="s">
        <v>940</v>
      </c>
      <c r="C2474" s="28" t="s">
        <v>17</v>
      </c>
      <c r="D2474" s="28" t="s">
        <v>19</v>
      </c>
      <c r="E2474" s="28" t="s">
        <v>947</v>
      </c>
      <c r="F2474" s="28">
        <v>800</v>
      </c>
      <c r="G2474" s="35">
        <f>G2475</f>
        <v>25</v>
      </c>
      <c r="H2474" s="35">
        <f t="shared" ref="H2474:K2474" si="1176">H2475</f>
        <v>25</v>
      </c>
      <c r="I2474" s="35">
        <f t="shared" si="1176"/>
        <v>25</v>
      </c>
      <c r="J2474" s="35">
        <f t="shared" si="1176"/>
        <v>0</v>
      </c>
      <c r="K2474" s="35">
        <f t="shared" si="1176"/>
        <v>0</v>
      </c>
      <c r="L2474" s="35">
        <f t="shared" si="1171"/>
        <v>0</v>
      </c>
      <c r="M2474" s="35">
        <f t="shared" si="1172"/>
        <v>0</v>
      </c>
    </row>
    <row r="2475" spans="1:13" s="88" customFormat="1">
      <c r="A2475" s="62" t="s">
        <v>615</v>
      </c>
      <c r="B2475" s="28" t="s">
        <v>940</v>
      </c>
      <c r="C2475" s="28" t="s">
        <v>17</v>
      </c>
      <c r="D2475" s="28" t="s">
        <v>19</v>
      </c>
      <c r="E2475" s="28" t="s">
        <v>947</v>
      </c>
      <c r="F2475" s="28">
        <v>880</v>
      </c>
      <c r="G2475" s="35">
        <v>25</v>
      </c>
      <c r="H2475" s="35">
        <v>25</v>
      </c>
      <c r="I2475" s="35">
        <v>25</v>
      </c>
      <c r="J2475" s="35">
        <v>0</v>
      </c>
      <c r="K2475" s="35">
        <v>0</v>
      </c>
      <c r="L2475" s="35">
        <f t="shared" si="1171"/>
        <v>0</v>
      </c>
      <c r="M2475" s="35">
        <f t="shared" si="1172"/>
        <v>0</v>
      </c>
    </row>
    <row r="2476" spans="1:13" ht="51">
      <c r="A2476" s="59" t="s">
        <v>942</v>
      </c>
      <c r="B2476" s="28" t="s">
        <v>940</v>
      </c>
      <c r="C2476" s="28" t="s">
        <v>17</v>
      </c>
      <c r="D2476" s="28" t="s">
        <v>19</v>
      </c>
      <c r="E2476" s="28" t="s">
        <v>943</v>
      </c>
      <c r="F2476" s="58" t="s">
        <v>0</v>
      </c>
      <c r="G2476" s="35">
        <f>G2477</f>
        <v>20515</v>
      </c>
      <c r="H2476" s="35">
        <f t="shared" ref="H2476:K2479" si="1177">H2477</f>
        <v>20515</v>
      </c>
      <c r="I2476" s="35">
        <f t="shared" si="1177"/>
        <v>15166</v>
      </c>
      <c r="J2476" s="35">
        <f t="shared" si="1177"/>
        <v>15166</v>
      </c>
      <c r="K2476" s="35">
        <f t="shared" si="1177"/>
        <v>14900.156559999999</v>
      </c>
      <c r="L2476" s="35">
        <f t="shared" si="1171"/>
        <v>72.630546234462585</v>
      </c>
      <c r="M2476" s="35">
        <f t="shared" si="1172"/>
        <v>98.247109059738889</v>
      </c>
    </row>
    <row r="2477" spans="1:13" ht="38.25">
      <c r="A2477" s="59" t="s">
        <v>948</v>
      </c>
      <c r="B2477" s="28" t="s">
        <v>940</v>
      </c>
      <c r="C2477" s="28" t="s">
        <v>17</v>
      </c>
      <c r="D2477" s="28" t="s">
        <v>19</v>
      </c>
      <c r="E2477" s="28" t="s">
        <v>949</v>
      </c>
      <c r="F2477" s="58" t="s">
        <v>0</v>
      </c>
      <c r="G2477" s="35">
        <f>G2478</f>
        <v>20515</v>
      </c>
      <c r="H2477" s="35">
        <f t="shared" si="1177"/>
        <v>20515</v>
      </c>
      <c r="I2477" s="35">
        <f t="shared" si="1177"/>
        <v>15166</v>
      </c>
      <c r="J2477" s="35">
        <f t="shared" si="1177"/>
        <v>15166</v>
      </c>
      <c r="K2477" s="35">
        <f t="shared" si="1177"/>
        <v>14900.156559999999</v>
      </c>
      <c r="L2477" s="35">
        <f t="shared" si="1171"/>
        <v>72.630546234462585</v>
      </c>
      <c r="M2477" s="35">
        <f t="shared" si="1172"/>
        <v>98.247109059738889</v>
      </c>
    </row>
    <row r="2478" spans="1:13" ht="25.5">
      <c r="A2478" s="59" t="s">
        <v>58</v>
      </c>
      <c r="B2478" s="28" t="s">
        <v>940</v>
      </c>
      <c r="C2478" s="28" t="s">
        <v>17</v>
      </c>
      <c r="D2478" s="28" t="s">
        <v>19</v>
      </c>
      <c r="E2478" s="28" t="s">
        <v>950</v>
      </c>
      <c r="F2478" s="58" t="s">
        <v>0</v>
      </c>
      <c r="G2478" s="35">
        <f>G2479</f>
        <v>20515</v>
      </c>
      <c r="H2478" s="35">
        <f t="shared" si="1177"/>
        <v>20515</v>
      </c>
      <c r="I2478" s="35">
        <f t="shared" si="1177"/>
        <v>15166</v>
      </c>
      <c r="J2478" s="35">
        <f t="shared" si="1177"/>
        <v>15166</v>
      </c>
      <c r="K2478" s="35">
        <f t="shared" si="1177"/>
        <v>14900.156559999999</v>
      </c>
      <c r="L2478" s="35">
        <f t="shared" si="1171"/>
        <v>72.630546234462585</v>
      </c>
      <c r="M2478" s="35">
        <f t="shared" si="1172"/>
        <v>98.247109059738889</v>
      </c>
    </row>
    <row r="2479" spans="1:13" ht="63.75">
      <c r="A2479" s="59" t="s">
        <v>60</v>
      </c>
      <c r="B2479" s="28" t="s">
        <v>940</v>
      </c>
      <c r="C2479" s="28" t="s">
        <v>17</v>
      </c>
      <c r="D2479" s="28" t="s">
        <v>19</v>
      </c>
      <c r="E2479" s="28" t="s">
        <v>950</v>
      </c>
      <c r="F2479" s="28" t="s">
        <v>61</v>
      </c>
      <c r="G2479" s="35">
        <f>G2480</f>
        <v>20515</v>
      </c>
      <c r="H2479" s="35">
        <f t="shared" si="1177"/>
        <v>20515</v>
      </c>
      <c r="I2479" s="35">
        <f t="shared" si="1177"/>
        <v>15166</v>
      </c>
      <c r="J2479" s="35">
        <f t="shared" si="1177"/>
        <v>15166</v>
      </c>
      <c r="K2479" s="35">
        <f t="shared" si="1177"/>
        <v>14900.156559999999</v>
      </c>
      <c r="L2479" s="35">
        <f t="shared" si="1171"/>
        <v>72.630546234462585</v>
      </c>
      <c r="M2479" s="35">
        <f t="shared" si="1172"/>
        <v>98.247109059738889</v>
      </c>
    </row>
    <row r="2480" spans="1:13" ht="25.5">
      <c r="A2480" s="59" t="s">
        <v>62</v>
      </c>
      <c r="B2480" s="28" t="s">
        <v>940</v>
      </c>
      <c r="C2480" s="28" t="s">
        <v>17</v>
      </c>
      <c r="D2480" s="28" t="s">
        <v>19</v>
      </c>
      <c r="E2480" s="28" t="s">
        <v>950</v>
      </c>
      <c r="F2480" s="28" t="s">
        <v>63</v>
      </c>
      <c r="G2480" s="35">
        <v>20515</v>
      </c>
      <c r="H2480" s="35">
        <v>20515</v>
      </c>
      <c r="I2480" s="35">
        <v>15166</v>
      </c>
      <c r="J2480" s="35">
        <v>15166</v>
      </c>
      <c r="K2480" s="35">
        <v>14900.156559999999</v>
      </c>
      <c r="L2480" s="35">
        <f t="shared" si="1171"/>
        <v>72.630546234462585</v>
      </c>
      <c r="M2480" s="35">
        <f t="shared" si="1172"/>
        <v>98.247109059738889</v>
      </c>
    </row>
    <row r="2481" spans="1:13">
      <c r="A2481" s="59" t="s">
        <v>386</v>
      </c>
      <c r="B2481" s="28" t="s">
        <v>940</v>
      </c>
      <c r="C2481" s="28" t="s">
        <v>17</v>
      </c>
      <c r="D2481" s="28" t="s">
        <v>387</v>
      </c>
      <c r="E2481" s="58" t="s">
        <v>0</v>
      </c>
      <c r="F2481" s="58" t="s">
        <v>0</v>
      </c>
      <c r="G2481" s="35">
        <f>G2482+G2487+G2492+G2520</f>
        <v>285726.09999999998</v>
      </c>
      <c r="H2481" s="35">
        <f>H2482+H2487+H2492+H2520+H2562</f>
        <v>296426.53388000006</v>
      </c>
      <c r="I2481" s="35">
        <f>I2482+I2487+I2492+I2520+I2562</f>
        <v>218450.33207</v>
      </c>
      <c r="J2481" s="35">
        <f>J2482+J2487+J2492+J2520+J2562</f>
        <v>218449.73207</v>
      </c>
      <c r="K2481" s="35">
        <f>K2482+K2487+K2492+K2520+K2562</f>
        <v>206196.22753999999</v>
      </c>
      <c r="L2481" s="35">
        <f t="shared" si="1171"/>
        <v>69.560651282139517</v>
      </c>
      <c r="M2481" s="35">
        <f t="shared" si="1172"/>
        <v>94.390439046769998</v>
      </c>
    </row>
    <row r="2482" spans="1:13" ht="76.5">
      <c r="A2482" s="59" t="s">
        <v>86</v>
      </c>
      <c r="B2482" s="28" t="s">
        <v>940</v>
      </c>
      <c r="C2482" s="28" t="s">
        <v>17</v>
      </c>
      <c r="D2482" s="28" t="s">
        <v>387</v>
      </c>
      <c r="E2482" s="28" t="s">
        <v>87</v>
      </c>
      <c r="F2482" s="58" t="s">
        <v>0</v>
      </c>
      <c r="G2482" s="35">
        <f>G2483</f>
        <v>300</v>
      </c>
      <c r="H2482" s="35">
        <f t="shared" ref="H2482:K2485" si="1178">H2483</f>
        <v>300</v>
      </c>
      <c r="I2482" s="35">
        <f t="shared" si="1178"/>
        <v>300</v>
      </c>
      <c r="J2482" s="35">
        <f t="shared" si="1178"/>
        <v>300</v>
      </c>
      <c r="K2482" s="35">
        <f t="shared" si="1178"/>
        <v>300</v>
      </c>
      <c r="L2482" s="35">
        <f t="shared" si="1171"/>
        <v>100</v>
      </c>
      <c r="M2482" s="35">
        <f t="shared" si="1172"/>
        <v>100</v>
      </c>
    </row>
    <row r="2483" spans="1:13" ht="51">
      <c r="A2483" s="59" t="s">
        <v>443</v>
      </c>
      <c r="B2483" s="28" t="s">
        <v>940</v>
      </c>
      <c r="C2483" s="28" t="s">
        <v>17</v>
      </c>
      <c r="D2483" s="28" t="s">
        <v>387</v>
      </c>
      <c r="E2483" s="28" t="s">
        <v>444</v>
      </c>
      <c r="F2483" s="58" t="s">
        <v>0</v>
      </c>
      <c r="G2483" s="35">
        <f>G2484</f>
        <v>300</v>
      </c>
      <c r="H2483" s="35">
        <f t="shared" si="1178"/>
        <v>300</v>
      </c>
      <c r="I2483" s="35">
        <f t="shared" si="1178"/>
        <v>300</v>
      </c>
      <c r="J2483" s="35">
        <f t="shared" si="1178"/>
        <v>300</v>
      </c>
      <c r="K2483" s="35">
        <f t="shared" si="1178"/>
        <v>300</v>
      </c>
      <c r="L2483" s="35">
        <f t="shared" si="1171"/>
        <v>100</v>
      </c>
      <c r="M2483" s="35">
        <f t="shared" si="1172"/>
        <v>100</v>
      </c>
    </row>
    <row r="2484" spans="1:13" ht="25.5">
      <c r="A2484" s="59" t="s">
        <v>748</v>
      </c>
      <c r="B2484" s="28" t="s">
        <v>940</v>
      </c>
      <c r="C2484" s="28" t="s">
        <v>17</v>
      </c>
      <c r="D2484" s="28" t="s">
        <v>387</v>
      </c>
      <c r="E2484" s="28" t="s">
        <v>951</v>
      </c>
      <c r="F2484" s="58" t="s">
        <v>0</v>
      </c>
      <c r="G2484" s="35">
        <f>G2485</f>
        <v>300</v>
      </c>
      <c r="H2484" s="35">
        <f t="shared" si="1178"/>
        <v>300</v>
      </c>
      <c r="I2484" s="35">
        <f t="shared" si="1178"/>
        <v>300</v>
      </c>
      <c r="J2484" s="35">
        <f t="shared" si="1178"/>
        <v>300</v>
      </c>
      <c r="K2484" s="35">
        <f t="shared" si="1178"/>
        <v>300</v>
      </c>
      <c r="L2484" s="35">
        <f t="shared" si="1171"/>
        <v>100</v>
      </c>
      <c r="M2484" s="35">
        <f t="shared" si="1172"/>
        <v>100</v>
      </c>
    </row>
    <row r="2485" spans="1:13" ht="25.5">
      <c r="A2485" s="59" t="s">
        <v>80</v>
      </c>
      <c r="B2485" s="28" t="s">
        <v>940</v>
      </c>
      <c r="C2485" s="28" t="s">
        <v>17</v>
      </c>
      <c r="D2485" s="28" t="s">
        <v>387</v>
      </c>
      <c r="E2485" s="28" t="s">
        <v>951</v>
      </c>
      <c r="F2485" s="28" t="s">
        <v>81</v>
      </c>
      <c r="G2485" s="35">
        <f>G2486</f>
        <v>300</v>
      </c>
      <c r="H2485" s="35">
        <f t="shared" si="1178"/>
        <v>300</v>
      </c>
      <c r="I2485" s="35">
        <f t="shared" si="1178"/>
        <v>300</v>
      </c>
      <c r="J2485" s="35">
        <f t="shared" si="1178"/>
        <v>300</v>
      </c>
      <c r="K2485" s="35">
        <f t="shared" si="1178"/>
        <v>300</v>
      </c>
      <c r="L2485" s="35">
        <f t="shared" si="1171"/>
        <v>100</v>
      </c>
      <c r="M2485" s="35">
        <f t="shared" si="1172"/>
        <v>100</v>
      </c>
    </row>
    <row r="2486" spans="1:13">
      <c r="A2486" s="59" t="s">
        <v>82</v>
      </c>
      <c r="B2486" s="28" t="s">
        <v>940</v>
      </c>
      <c r="C2486" s="28" t="s">
        <v>17</v>
      </c>
      <c r="D2486" s="28" t="s">
        <v>387</v>
      </c>
      <c r="E2486" s="28" t="s">
        <v>951</v>
      </c>
      <c r="F2486" s="28" t="s">
        <v>83</v>
      </c>
      <c r="G2486" s="35">
        <v>300</v>
      </c>
      <c r="H2486" s="35">
        <v>300</v>
      </c>
      <c r="I2486" s="35">
        <v>300</v>
      </c>
      <c r="J2486" s="35">
        <v>300</v>
      </c>
      <c r="K2486" s="35">
        <v>300</v>
      </c>
      <c r="L2486" s="35">
        <f t="shared" si="1171"/>
        <v>100</v>
      </c>
      <c r="M2486" s="35">
        <f t="shared" si="1172"/>
        <v>100</v>
      </c>
    </row>
    <row r="2487" spans="1:13" ht="63.75" hidden="1">
      <c r="A2487" s="59" t="s">
        <v>166</v>
      </c>
      <c r="B2487" s="28" t="s">
        <v>940</v>
      </c>
      <c r="C2487" s="28" t="s">
        <v>17</v>
      </c>
      <c r="D2487" s="28" t="s">
        <v>387</v>
      </c>
      <c r="E2487" s="28" t="s">
        <v>167</v>
      </c>
      <c r="F2487" s="58" t="s">
        <v>0</v>
      </c>
      <c r="G2487" s="35">
        <f>G2488</f>
        <v>0</v>
      </c>
      <c r="H2487" s="35">
        <f t="shared" ref="H2487:K2490" si="1179">H2488</f>
        <v>0</v>
      </c>
      <c r="I2487" s="35">
        <f t="shared" si="1179"/>
        <v>0</v>
      </c>
      <c r="J2487" s="35">
        <f t="shared" si="1179"/>
        <v>0</v>
      </c>
      <c r="K2487" s="35">
        <f t="shared" si="1179"/>
        <v>0</v>
      </c>
      <c r="L2487" s="35" t="e">
        <f t="shared" si="1171"/>
        <v>#DIV/0!</v>
      </c>
      <c r="M2487" s="35" t="e">
        <f t="shared" si="1172"/>
        <v>#DIV/0!</v>
      </c>
    </row>
    <row r="2488" spans="1:13" ht="38.25" hidden="1">
      <c r="A2488" s="59" t="s">
        <v>910</v>
      </c>
      <c r="B2488" s="28" t="s">
        <v>940</v>
      </c>
      <c r="C2488" s="28" t="s">
        <v>17</v>
      </c>
      <c r="D2488" s="28" t="s">
        <v>387</v>
      </c>
      <c r="E2488" s="28" t="s">
        <v>911</v>
      </c>
      <c r="F2488" s="58" t="s">
        <v>0</v>
      </c>
      <c r="G2488" s="35">
        <f>G2489</f>
        <v>0</v>
      </c>
      <c r="H2488" s="35">
        <f t="shared" si="1179"/>
        <v>0</v>
      </c>
      <c r="I2488" s="35">
        <f t="shared" si="1179"/>
        <v>0</v>
      </c>
      <c r="J2488" s="35">
        <f t="shared" si="1179"/>
        <v>0</v>
      </c>
      <c r="K2488" s="35">
        <f t="shared" si="1179"/>
        <v>0</v>
      </c>
      <c r="L2488" s="35" t="e">
        <f t="shared" si="1171"/>
        <v>#DIV/0!</v>
      </c>
      <c r="M2488" s="35" t="e">
        <f t="shared" si="1172"/>
        <v>#DIV/0!</v>
      </c>
    </row>
    <row r="2489" spans="1:13" ht="25.5" hidden="1">
      <c r="A2489" s="59" t="s">
        <v>748</v>
      </c>
      <c r="B2489" s="28" t="s">
        <v>940</v>
      </c>
      <c r="C2489" s="28" t="s">
        <v>17</v>
      </c>
      <c r="D2489" s="28" t="s">
        <v>387</v>
      </c>
      <c r="E2489" s="28" t="s">
        <v>952</v>
      </c>
      <c r="F2489" s="58" t="s">
        <v>0</v>
      </c>
      <c r="G2489" s="35">
        <f>G2490</f>
        <v>0</v>
      </c>
      <c r="H2489" s="35">
        <f t="shared" si="1179"/>
        <v>0</v>
      </c>
      <c r="I2489" s="35">
        <f t="shared" si="1179"/>
        <v>0</v>
      </c>
      <c r="J2489" s="35">
        <f t="shared" si="1179"/>
        <v>0</v>
      </c>
      <c r="K2489" s="35">
        <f t="shared" si="1179"/>
        <v>0</v>
      </c>
      <c r="L2489" s="35" t="e">
        <f t="shared" si="1171"/>
        <v>#DIV/0!</v>
      </c>
      <c r="M2489" s="35" t="e">
        <f t="shared" si="1172"/>
        <v>#DIV/0!</v>
      </c>
    </row>
    <row r="2490" spans="1:13" ht="25.5" hidden="1">
      <c r="A2490" s="59" t="s">
        <v>80</v>
      </c>
      <c r="B2490" s="28" t="s">
        <v>940</v>
      </c>
      <c r="C2490" s="28" t="s">
        <v>17</v>
      </c>
      <c r="D2490" s="28" t="s">
        <v>387</v>
      </c>
      <c r="E2490" s="28" t="s">
        <v>952</v>
      </c>
      <c r="F2490" s="28" t="s">
        <v>81</v>
      </c>
      <c r="G2490" s="35">
        <f>G2491</f>
        <v>0</v>
      </c>
      <c r="H2490" s="35">
        <f t="shared" si="1179"/>
        <v>0</v>
      </c>
      <c r="I2490" s="35">
        <f t="shared" si="1179"/>
        <v>0</v>
      </c>
      <c r="J2490" s="35">
        <f t="shared" si="1179"/>
        <v>0</v>
      </c>
      <c r="K2490" s="35">
        <f t="shared" si="1179"/>
        <v>0</v>
      </c>
      <c r="L2490" s="35" t="e">
        <f t="shared" si="1171"/>
        <v>#DIV/0!</v>
      </c>
      <c r="M2490" s="35" t="e">
        <f t="shared" si="1172"/>
        <v>#DIV/0!</v>
      </c>
    </row>
    <row r="2491" spans="1:13" hidden="1">
      <c r="A2491" s="59" t="s">
        <v>82</v>
      </c>
      <c r="B2491" s="28" t="s">
        <v>940</v>
      </c>
      <c r="C2491" s="28" t="s">
        <v>17</v>
      </c>
      <c r="D2491" s="28" t="s">
        <v>387</v>
      </c>
      <c r="E2491" s="28" t="s">
        <v>952</v>
      </c>
      <c r="F2491" s="28" t="s">
        <v>83</v>
      </c>
      <c r="G2491" s="35"/>
      <c r="H2491" s="35">
        <v>0</v>
      </c>
      <c r="I2491" s="35">
        <v>0</v>
      </c>
      <c r="J2491" s="35">
        <v>0</v>
      </c>
      <c r="K2491" s="35">
        <v>0</v>
      </c>
      <c r="L2491" s="35" t="e">
        <f t="shared" si="1171"/>
        <v>#DIV/0!</v>
      </c>
      <c r="M2491" s="35" t="e">
        <f t="shared" si="1172"/>
        <v>#DIV/0!</v>
      </c>
    </row>
    <row r="2492" spans="1:13" ht="63.75">
      <c r="A2492" s="59" t="s">
        <v>953</v>
      </c>
      <c r="B2492" s="28" t="s">
        <v>940</v>
      </c>
      <c r="C2492" s="28" t="s">
        <v>17</v>
      </c>
      <c r="D2492" s="28" t="s">
        <v>387</v>
      </c>
      <c r="E2492" s="28" t="s">
        <v>954</v>
      </c>
      <c r="F2492" s="58" t="s">
        <v>0</v>
      </c>
      <c r="G2492" s="35">
        <f>G2493+G2505+G2509+G2513</f>
        <v>36022.400000000001</v>
      </c>
      <c r="H2492" s="35">
        <f t="shared" ref="H2492:K2492" si="1180">H2493+H2505+H2509+H2513</f>
        <v>36022.400000000001</v>
      </c>
      <c r="I2492" s="35">
        <f t="shared" si="1180"/>
        <v>32929.4</v>
      </c>
      <c r="J2492" s="35">
        <f t="shared" si="1180"/>
        <v>32928.800000000003</v>
      </c>
      <c r="K2492" s="35">
        <f t="shared" si="1180"/>
        <v>32518.565580000002</v>
      </c>
      <c r="L2492" s="35">
        <f t="shared" si="1171"/>
        <v>90.273178855378873</v>
      </c>
      <c r="M2492" s="35">
        <f t="shared" si="1172"/>
        <v>98.752378057298344</v>
      </c>
    </row>
    <row r="2493" spans="1:13" ht="38.25">
      <c r="A2493" s="59" t="s">
        <v>955</v>
      </c>
      <c r="B2493" s="28" t="s">
        <v>940</v>
      </c>
      <c r="C2493" s="28" t="s">
        <v>17</v>
      </c>
      <c r="D2493" s="28" t="s">
        <v>387</v>
      </c>
      <c r="E2493" s="28" t="s">
        <v>956</v>
      </c>
      <c r="F2493" s="58" t="s">
        <v>0</v>
      </c>
      <c r="G2493" s="35">
        <f>G2494+G2499+G2502</f>
        <v>10000</v>
      </c>
      <c r="H2493" s="35">
        <f t="shared" ref="H2493:K2493" si="1181">H2494+H2499+H2502</f>
        <v>10000</v>
      </c>
      <c r="I2493" s="35">
        <f t="shared" si="1181"/>
        <v>9877</v>
      </c>
      <c r="J2493" s="35">
        <f t="shared" si="1181"/>
        <v>9877</v>
      </c>
      <c r="K2493" s="35">
        <f t="shared" si="1181"/>
        <v>9825.1299199999994</v>
      </c>
      <c r="L2493" s="35">
        <f t="shared" si="1171"/>
        <v>98.251299199999991</v>
      </c>
      <c r="M2493" s="35">
        <f t="shared" si="1172"/>
        <v>99.474839728662545</v>
      </c>
    </row>
    <row r="2494" spans="1:13">
      <c r="A2494" s="59" t="s">
        <v>609</v>
      </c>
      <c r="B2494" s="28" t="s">
        <v>940</v>
      </c>
      <c r="C2494" s="28" t="s">
        <v>17</v>
      </c>
      <c r="D2494" s="28" t="s">
        <v>387</v>
      </c>
      <c r="E2494" s="28" t="s">
        <v>957</v>
      </c>
      <c r="F2494" s="58" t="s">
        <v>0</v>
      </c>
      <c r="G2494" s="35">
        <f>G2495+G2497</f>
        <v>500</v>
      </c>
      <c r="H2494" s="35">
        <f t="shared" ref="H2494:K2494" si="1182">H2495+H2497</f>
        <v>500</v>
      </c>
      <c r="I2494" s="35">
        <f t="shared" si="1182"/>
        <v>377</v>
      </c>
      <c r="J2494" s="35">
        <f t="shared" si="1182"/>
        <v>377</v>
      </c>
      <c r="K2494" s="35">
        <f t="shared" si="1182"/>
        <v>325.12992000000003</v>
      </c>
      <c r="L2494" s="35">
        <f t="shared" si="1171"/>
        <v>65.025984000000008</v>
      </c>
      <c r="M2494" s="35">
        <f t="shared" si="1172"/>
        <v>86.241358090185685</v>
      </c>
    </row>
    <row r="2495" spans="1:13" ht="63.75">
      <c r="A2495" s="59" t="s">
        <v>60</v>
      </c>
      <c r="B2495" s="28" t="s">
        <v>940</v>
      </c>
      <c r="C2495" s="28" t="s">
        <v>17</v>
      </c>
      <c r="D2495" s="28" t="s">
        <v>387</v>
      </c>
      <c r="E2495" s="28" t="s">
        <v>957</v>
      </c>
      <c r="F2495" s="28" t="s">
        <v>61</v>
      </c>
      <c r="G2495" s="35">
        <f>G2496</f>
        <v>276</v>
      </c>
      <c r="H2495" s="35">
        <f t="shared" ref="H2495:K2495" si="1183">H2496</f>
        <v>276</v>
      </c>
      <c r="I2495" s="35">
        <f t="shared" si="1183"/>
        <v>207</v>
      </c>
      <c r="J2495" s="35">
        <f t="shared" si="1183"/>
        <v>207</v>
      </c>
      <c r="K2495" s="35">
        <f t="shared" si="1183"/>
        <v>206.93145000000001</v>
      </c>
      <c r="L2495" s="35">
        <f t="shared" si="1171"/>
        <v>74.975163043478261</v>
      </c>
      <c r="M2495" s="35">
        <f t="shared" si="1172"/>
        <v>99.966884057971015</v>
      </c>
    </row>
    <row r="2496" spans="1:13" ht="25.5">
      <c r="A2496" s="59" t="s">
        <v>62</v>
      </c>
      <c r="B2496" s="28" t="s">
        <v>940</v>
      </c>
      <c r="C2496" s="28" t="s">
        <v>17</v>
      </c>
      <c r="D2496" s="28" t="s">
        <v>387</v>
      </c>
      <c r="E2496" s="28" t="s">
        <v>957</v>
      </c>
      <c r="F2496" s="28" t="s">
        <v>63</v>
      </c>
      <c r="G2496" s="35">
        <v>276</v>
      </c>
      <c r="H2496" s="35">
        <v>276</v>
      </c>
      <c r="I2496" s="35">
        <v>207</v>
      </c>
      <c r="J2496" s="35">
        <v>207</v>
      </c>
      <c r="K2496" s="35">
        <v>206.93145000000001</v>
      </c>
      <c r="L2496" s="35">
        <f t="shared" si="1171"/>
        <v>74.975163043478261</v>
      </c>
      <c r="M2496" s="35">
        <f t="shared" si="1172"/>
        <v>99.966884057971015</v>
      </c>
    </row>
    <row r="2497" spans="1:13" ht="25.5">
      <c r="A2497" s="59" t="s">
        <v>64</v>
      </c>
      <c r="B2497" s="28" t="s">
        <v>940</v>
      </c>
      <c r="C2497" s="28" t="s">
        <v>17</v>
      </c>
      <c r="D2497" s="28" t="s">
        <v>387</v>
      </c>
      <c r="E2497" s="28" t="s">
        <v>957</v>
      </c>
      <c r="F2497" s="28" t="s">
        <v>65</v>
      </c>
      <c r="G2497" s="35">
        <f>G2498</f>
        <v>224</v>
      </c>
      <c r="H2497" s="35">
        <f t="shared" ref="H2497:K2497" si="1184">H2498</f>
        <v>224</v>
      </c>
      <c r="I2497" s="35">
        <f t="shared" si="1184"/>
        <v>170</v>
      </c>
      <c r="J2497" s="35">
        <f t="shared" si="1184"/>
        <v>170</v>
      </c>
      <c r="K2497" s="35">
        <f t="shared" si="1184"/>
        <v>118.19847</v>
      </c>
      <c r="L2497" s="35">
        <f t="shared" si="1171"/>
        <v>52.767174107142857</v>
      </c>
      <c r="M2497" s="35">
        <f t="shared" si="1172"/>
        <v>69.528511764705883</v>
      </c>
    </row>
    <row r="2498" spans="1:13" ht="25.5">
      <c r="A2498" s="59" t="s">
        <v>66</v>
      </c>
      <c r="B2498" s="28" t="s">
        <v>940</v>
      </c>
      <c r="C2498" s="28" t="s">
        <v>17</v>
      </c>
      <c r="D2498" s="28" t="s">
        <v>387</v>
      </c>
      <c r="E2498" s="28" t="s">
        <v>957</v>
      </c>
      <c r="F2498" s="28" t="s">
        <v>67</v>
      </c>
      <c r="G2498" s="35">
        <v>224</v>
      </c>
      <c r="H2498" s="35">
        <v>224</v>
      </c>
      <c r="I2498" s="35">
        <v>170</v>
      </c>
      <c r="J2498" s="35">
        <v>170</v>
      </c>
      <c r="K2498" s="35">
        <v>118.19847</v>
      </c>
      <c r="L2498" s="35">
        <f t="shared" si="1171"/>
        <v>52.767174107142857</v>
      </c>
      <c r="M2498" s="35">
        <f t="shared" si="1172"/>
        <v>69.528511764705883</v>
      </c>
    </row>
    <row r="2499" spans="1:13" ht="25.5">
      <c r="A2499" s="59" t="s">
        <v>617</v>
      </c>
      <c r="B2499" s="28" t="s">
        <v>940</v>
      </c>
      <c r="C2499" s="28" t="s">
        <v>17</v>
      </c>
      <c r="D2499" s="28" t="s">
        <v>387</v>
      </c>
      <c r="E2499" s="28" t="s">
        <v>958</v>
      </c>
      <c r="F2499" s="58" t="s">
        <v>0</v>
      </c>
      <c r="G2499" s="35">
        <f>G2500</f>
        <v>7000</v>
      </c>
      <c r="H2499" s="35">
        <f t="shared" ref="H2499:K2500" si="1185">H2500</f>
        <v>7000</v>
      </c>
      <c r="I2499" s="35">
        <f t="shared" si="1185"/>
        <v>7000</v>
      </c>
      <c r="J2499" s="35">
        <f t="shared" si="1185"/>
        <v>7000</v>
      </c>
      <c r="K2499" s="35">
        <f t="shared" si="1185"/>
        <v>7000</v>
      </c>
      <c r="L2499" s="35">
        <f t="shared" si="1171"/>
        <v>100</v>
      </c>
      <c r="M2499" s="35">
        <f t="shared" si="1172"/>
        <v>100</v>
      </c>
    </row>
    <row r="2500" spans="1:13" ht="25.5">
      <c r="A2500" s="59" t="s">
        <v>80</v>
      </c>
      <c r="B2500" s="28" t="s">
        <v>940</v>
      </c>
      <c r="C2500" s="28" t="s">
        <v>17</v>
      </c>
      <c r="D2500" s="28" t="s">
        <v>387</v>
      </c>
      <c r="E2500" s="28" t="s">
        <v>958</v>
      </c>
      <c r="F2500" s="28" t="s">
        <v>81</v>
      </c>
      <c r="G2500" s="35">
        <f>G2501</f>
        <v>7000</v>
      </c>
      <c r="H2500" s="35">
        <f t="shared" si="1185"/>
        <v>7000</v>
      </c>
      <c r="I2500" s="35">
        <f t="shared" si="1185"/>
        <v>7000</v>
      </c>
      <c r="J2500" s="35">
        <f t="shared" si="1185"/>
        <v>7000</v>
      </c>
      <c r="K2500" s="35">
        <f t="shared" si="1185"/>
        <v>7000</v>
      </c>
      <c r="L2500" s="35">
        <f t="shared" si="1171"/>
        <v>100</v>
      </c>
      <c r="M2500" s="35">
        <f t="shared" si="1172"/>
        <v>100</v>
      </c>
    </row>
    <row r="2501" spans="1:13" ht="38.25">
      <c r="A2501" s="59" t="s">
        <v>195</v>
      </c>
      <c r="B2501" s="28" t="s">
        <v>940</v>
      </c>
      <c r="C2501" s="28" t="s">
        <v>17</v>
      </c>
      <c r="D2501" s="28" t="s">
        <v>387</v>
      </c>
      <c r="E2501" s="28" t="s">
        <v>958</v>
      </c>
      <c r="F2501" s="28" t="s">
        <v>196</v>
      </c>
      <c r="G2501" s="35">
        <v>7000</v>
      </c>
      <c r="H2501" s="35">
        <v>7000</v>
      </c>
      <c r="I2501" s="35">
        <v>7000</v>
      </c>
      <c r="J2501" s="35">
        <v>7000</v>
      </c>
      <c r="K2501" s="35">
        <v>7000</v>
      </c>
      <c r="L2501" s="35">
        <f t="shared" si="1171"/>
        <v>100</v>
      </c>
      <c r="M2501" s="35">
        <f t="shared" si="1172"/>
        <v>100</v>
      </c>
    </row>
    <row r="2502" spans="1:13" ht="38.25">
      <c r="A2502" s="59" t="s">
        <v>959</v>
      </c>
      <c r="B2502" s="28" t="s">
        <v>940</v>
      </c>
      <c r="C2502" s="28" t="s">
        <v>17</v>
      </c>
      <c r="D2502" s="28" t="s">
        <v>387</v>
      </c>
      <c r="E2502" s="28" t="s">
        <v>960</v>
      </c>
      <c r="F2502" s="58" t="s">
        <v>0</v>
      </c>
      <c r="G2502" s="35">
        <f>G2503</f>
        <v>2500</v>
      </c>
      <c r="H2502" s="35">
        <f t="shared" ref="H2502:K2503" si="1186">H2503</f>
        <v>2500</v>
      </c>
      <c r="I2502" s="35">
        <f t="shared" si="1186"/>
        <v>2500</v>
      </c>
      <c r="J2502" s="35">
        <f t="shared" si="1186"/>
        <v>2500</v>
      </c>
      <c r="K2502" s="35">
        <f t="shared" si="1186"/>
        <v>2500</v>
      </c>
      <c r="L2502" s="35">
        <f t="shared" si="1171"/>
        <v>100</v>
      </c>
      <c r="M2502" s="35">
        <f t="shared" si="1172"/>
        <v>100</v>
      </c>
    </row>
    <row r="2503" spans="1:13">
      <c r="A2503" s="59" t="s">
        <v>26</v>
      </c>
      <c r="B2503" s="28" t="s">
        <v>940</v>
      </c>
      <c r="C2503" s="28" t="s">
        <v>17</v>
      </c>
      <c r="D2503" s="28" t="s">
        <v>387</v>
      </c>
      <c r="E2503" s="28" t="s">
        <v>960</v>
      </c>
      <c r="F2503" s="28" t="s">
        <v>27</v>
      </c>
      <c r="G2503" s="35">
        <f>G2504</f>
        <v>2500</v>
      </c>
      <c r="H2503" s="35">
        <f t="shared" si="1186"/>
        <v>2500</v>
      </c>
      <c r="I2503" s="35">
        <f t="shared" si="1186"/>
        <v>2500</v>
      </c>
      <c r="J2503" s="35">
        <f t="shared" si="1186"/>
        <v>2500</v>
      </c>
      <c r="K2503" s="35">
        <f t="shared" si="1186"/>
        <v>2500</v>
      </c>
      <c r="L2503" s="35">
        <f t="shared" si="1171"/>
        <v>100</v>
      </c>
      <c r="M2503" s="35">
        <f t="shared" si="1172"/>
        <v>100</v>
      </c>
    </row>
    <row r="2504" spans="1:13">
      <c r="A2504" s="59" t="s">
        <v>56</v>
      </c>
      <c r="B2504" s="28" t="s">
        <v>940</v>
      </c>
      <c r="C2504" s="28" t="s">
        <v>17</v>
      </c>
      <c r="D2504" s="28" t="s">
        <v>387</v>
      </c>
      <c r="E2504" s="28" t="s">
        <v>960</v>
      </c>
      <c r="F2504" s="28" t="s">
        <v>57</v>
      </c>
      <c r="G2504" s="35">
        <v>2500</v>
      </c>
      <c r="H2504" s="35">
        <v>2500</v>
      </c>
      <c r="I2504" s="35">
        <v>2500</v>
      </c>
      <c r="J2504" s="35">
        <v>2500</v>
      </c>
      <c r="K2504" s="35">
        <v>2500</v>
      </c>
      <c r="L2504" s="35">
        <f t="shared" si="1171"/>
        <v>100</v>
      </c>
      <c r="M2504" s="35">
        <f t="shared" si="1172"/>
        <v>100</v>
      </c>
    </row>
    <row r="2505" spans="1:13" ht="38.25">
      <c r="A2505" s="59" t="s">
        <v>961</v>
      </c>
      <c r="B2505" s="28" t="s">
        <v>940</v>
      </c>
      <c r="C2505" s="28" t="s">
        <v>17</v>
      </c>
      <c r="D2505" s="28" t="s">
        <v>387</v>
      </c>
      <c r="E2505" s="28" t="s">
        <v>962</v>
      </c>
      <c r="F2505" s="58" t="s">
        <v>0</v>
      </c>
      <c r="G2505" s="35">
        <f>G2506</f>
        <v>12500</v>
      </c>
      <c r="H2505" s="35">
        <f t="shared" ref="H2505:K2507" si="1187">H2506</f>
        <v>12500</v>
      </c>
      <c r="I2505" s="35">
        <f t="shared" si="1187"/>
        <v>12500</v>
      </c>
      <c r="J2505" s="35">
        <f t="shared" si="1187"/>
        <v>12500</v>
      </c>
      <c r="K2505" s="35">
        <f t="shared" si="1187"/>
        <v>12141.709000000001</v>
      </c>
      <c r="L2505" s="35">
        <f t="shared" si="1171"/>
        <v>97.133672000000004</v>
      </c>
      <c r="M2505" s="35">
        <f t="shared" si="1172"/>
        <v>97.133672000000004</v>
      </c>
    </row>
    <row r="2506" spans="1:13" ht="25.5">
      <c r="A2506" s="59" t="s">
        <v>963</v>
      </c>
      <c r="B2506" s="28" t="s">
        <v>940</v>
      </c>
      <c r="C2506" s="28" t="s">
        <v>17</v>
      </c>
      <c r="D2506" s="28" t="s">
        <v>387</v>
      </c>
      <c r="E2506" s="28" t="s">
        <v>964</v>
      </c>
      <c r="F2506" s="58" t="s">
        <v>0</v>
      </c>
      <c r="G2506" s="35">
        <f>G2507</f>
        <v>12500</v>
      </c>
      <c r="H2506" s="35">
        <f t="shared" si="1187"/>
        <v>12500</v>
      </c>
      <c r="I2506" s="35">
        <f t="shared" si="1187"/>
        <v>12500</v>
      </c>
      <c r="J2506" s="35">
        <f t="shared" si="1187"/>
        <v>12500</v>
      </c>
      <c r="K2506" s="35">
        <f t="shared" si="1187"/>
        <v>12141.709000000001</v>
      </c>
      <c r="L2506" s="35">
        <f t="shared" si="1171"/>
        <v>97.133672000000004</v>
      </c>
      <c r="M2506" s="35">
        <f t="shared" si="1172"/>
        <v>97.133672000000004</v>
      </c>
    </row>
    <row r="2507" spans="1:13">
      <c r="A2507" s="59" t="s">
        <v>26</v>
      </c>
      <c r="B2507" s="28" t="s">
        <v>940</v>
      </c>
      <c r="C2507" s="28" t="s">
        <v>17</v>
      </c>
      <c r="D2507" s="28" t="s">
        <v>387</v>
      </c>
      <c r="E2507" s="28" t="s">
        <v>964</v>
      </c>
      <c r="F2507" s="28" t="s">
        <v>27</v>
      </c>
      <c r="G2507" s="35">
        <f>G2508</f>
        <v>12500</v>
      </c>
      <c r="H2507" s="35">
        <f t="shared" si="1187"/>
        <v>12500</v>
      </c>
      <c r="I2507" s="35">
        <f t="shared" si="1187"/>
        <v>12500</v>
      </c>
      <c r="J2507" s="35">
        <f t="shared" si="1187"/>
        <v>12500</v>
      </c>
      <c r="K2507" s="35">
        <f t="shared" si="1187"/>
        <v>12141.709000000001</v>
      </c>
      <c r="L2507" s="35">
        <f t="shared" si="1171"/>
        <v>97.133672000000004</v>
      </c>
      <c r="M2507" s="35">
        <f t="shared" si="1172"/>
        <v>97.133672000000004</v>
      </c>
    </row>
    <row r="2508" spans="1:13">
      <c r="A2508" s="59" t="s">
        <v>56</v>
      </c>
      <c r="B2508" s="28" t="s">
        <v>940</v>
      </c>
      <c r="C2508" s="28" t="s">
        <v>17</v>
      </c>
      <c r="D2508" s="28" t="s">
        <v>387</v>
      </c>
      <c r="E2508" s="28" t="s">
        <v>964</v>
      </c>
      <c r="F2508" s="28" t="s">
        <v>57</v>
      </c>
      <c r="G2508" s="35">
        <v>12500</v>
      </c>
      <c r="H2508" s="35">
        <v>12500</v>
      </c>
      <c r="I2508" s="35">
        <v>12500</v>
      </c>
      <c r="J2508" s="35">
        <v>12500</v>
      </c>
      <c r="K2508" s="35">
        <v>12141.709000000001</v>
      </c>
      <c r="L2508" s="35">
        <f t="shared" si="1171"/>
        <v>97.133672000000004</v>
      </c>
      <c r="M2508" s="35">
        <f t="shared" si="1172"/>
        <v>97.133672000000004</v>
      </c>
    </row>
    <row r="2509" spans="1:13" ht="25.5">
      <c r="A2509" s="59" t="s">
        <v>965</v>
      </c>
      <c r="B2509" s="28" t="s">
        <v>940</v>
      </c>
      <c r="C2509" s="28" t="s">
        <v>17</v>
      </c>
      <c r="D2509" s="28" t="s">
        <v>387</v>
      </c>
      <c r="E2509" s="28" t="s">
        <v>966</v>
      </c>
      <c r="F2509" s="58" t="s">
        <v>0</v>
      </c>
      <c r="G2509" s="35">
        <f>G2510</f>
        <v>12522.4</v>
      </c>
      <c r="H2509" s="35">
        <f t="shared" ref="H2509:K2511" si="1188">H2510</f>
        <v>12522.4</v>
      </c>
      <c r="I2509" s="35">
        <f t="shared" si="1188"/>
        <v>9552.4</v>
      </c>
      <c r="J2509" s="35">
        <f t="shared" si="1188"/>
        <v>9552.4</v>
      </c>
      <c r="K2509" s="35">
        <f t="shared" si="1188"/>
        <v>9552.4</v>
      </c>
      <c r="L2509" s="35">
        <f t="shared" si="1171"/>
        <v>76.282501756851715</v>
      </c>
      <c r="M2509" s="35">
        <f t="shared" si="1172"/>
        <v>100</v>
      </c>
    </row>
    <row r="2510" spans="1:13" ht="25.5">
      <c r="A2510" s="59" t="s">
        <v>76</v>
      </c>
      <c r="B2510" s="28" t="s">
        <v>940</v>
      </c>
      <c r="C2510" s="28" t="s">
        <v>17</v>
      </c>
      <c r="D2510" s="28" t="s">
        <v>387</v>
      </c>
      <c r="E2510" s="28" t="s">
        <v>967</v>
      </c>
      <c r="F2510" s="58" t="s">
        <v>0</v>
      </c>
      <c r="G2510" s="35">
        <f>G2511</f>
        <v>12522.4</v>
      </c>
      <c r="H2510" s="35">
        <f t="shared" si="1188"/>
        <v>12522.4</v>
      </c>
      <c r="I2510" s="35">
        <f t="shared" si="1188"/>
        <v>9552.4</v>
      </c>
      <c r="J2510" s="35">
        <f t="shared" si="1188"/>
        <v>9552.4</v>
      </c>
      <c r="K2510" s="35">
        <f t="shared" si="1188"/>
        <v>9552.4</v>
      </c>
      <c r="L2510" s="35">
        <f t="shared" si="1171"/>
        <v>76.282501756851715</v>
      </c>
      <c r="M2510" s="35">
        <f t="shared" si="1172"/>
        <v>100</v>
      </c>
    </row>
    <row r="2511" spans="1:13" ht="25.5">
      <c r="A2511" s="59" t="s">
        <v>80</v>
      </c>
      <c r="B2511" s="28" t="s">
        <v>940</v>
      </c>
      <c r="C2511" s="28" t="s">
        <v>17</v>
      </c>
      <c r="D2511" s="28" t="s">
        <v>387</v>
      </c>
      <c r="E2511" s="28" t="s">
        <v>967</v>
      </c>
      <c r="F2511" s="28" t="s">
        <v>81</v>
      </c>
      <c r="G2511" s="35">
        <f>G2512</f>
        <v>12522.4</v>
      </c>
      <c r="H2511" s="35">
        <f t="shared" si="1188"/>
        <v>12522.4</v>
      </c>
      <c r="I2511" s="35">
        <f t="shared" si="1188"/>
        <v>9552.4</v>
      </c>
      <c r="J2511" s="35">
        <f t="shared" si="1188"/>
        <v>9552.4</v>
      </c>
      <c r="K2511" s="35">
        <f t="shared" si="1188"/>
        <v>9552.4</v>
      </c>
      <c r="L2511" s="35">
        <f t="shared" si="1171"/>
        <v>76.282501756851715</v>
      </c>
      <c r="M2511" s="35">
        <f t="shared" si="1172"/>
        <v>100</v>
      </c>
    </row>
    <row r="2512" spans="1:13">
      <c r="A2512" s="59" t="s">
        <v>82</v>
      </c>
      <c r="B2512" s="28" t="s">
        <v>940</v>
      </c>
      <c r="C2512" s="28" t="s">
        <v>17</v>
      </c>
      <c r="D2512" s="28" t="s">
        <v>387</v>
      </c>
      <c r="E2512" s="28" t="s">
        <v>967</v>
      </c>
      <c r="F2512" s="28" t="s">
        <v>83</v>
      </c>
      <c r="G2512" s="35">
        <v>12522.4</v>
      </c>
      <c r="H2512" s="35">
        <v>12522.4</v>
      </c>
      <c r="I2512" s="35">
        <v>9552.4</v>
      </c>
      <c r="J2512" s="35">
        <v>9552.4</v>
      </c>
      <c r="K2512" s="35">
        <v>9552.4</v>
      </c>
      <c r="L2512" s="35">
        <f t="shared" si="1171"/>
        <v>76.282501756851715</v>
      </c>
      <c r="M2512" s="35">
        <f t="shared" si="1172"/>
        <v>100</v>
      </c>
    </row>
    <row r="2513" spans="1:13" ht="51">
      <c r="A2513" s="59" t="s">
        <v>968</v>
      </c>
      <c r="B2513" s="28" t="s">
        <v>940</v>
      </c>
      <c r="C2513" s="28" t="s">
        <v>17</v>
      </c>
      <c r="D2513" s="28" t="s">
        <v>387</v>
      </c>
      <c r="E2513" s="28" t="s">
        <v>969</v>
      </c>
      <c r="F2513" s="58" t="s">
        <v>0</v>
      </c>
      <c r="G2513" s="35">
        <f>G2514+G2517</f>
        <v>1000</v>
      </c>
      <c r="H2513" s="35">
        <f t="shared" ref="H2513:K2513" si="1189">H2514+H2517</f>
        <v>1000</v>
      </c>
      <c r="I2513" s="35">
        <f t="shared" si="1189"/>
        <v>1000</v>
      </c>
      <c r="J2513" s="35">
        <f t="shared" si="1189"/>
        <v>999.4</v>
      </c>
      <c r="K2513" s="35">
        <f t="shared" si="1189"/>
        <v>999.32665999999995</v>
      </c>
      <c r="L2513" s="35">
        <f t="shared" si="1171"/>
        <v>99.932665999999998</v>
      </c>
      <c r="M2513" s="35">
        <f t="shared" si="1172"/>
        <v>99.932665999999998</v>
      </c>
    </row>
    <row r="2514" spans="1:13" ht="25.5">
      <c r="A2514" s="59" t="s">
        <v>617</v>
      </c>
      <c r="B2514" s="28" t="s">
        <v>940</v>
      </c>
      <c r="C2514" s="28" t="s">
        <v>17</v>
      </c>
      <c r="D2514" s="28" t="s">
        <v>387</v>
      </c>
      <c r="E2514" s="28" t="s">
        <v>970</v>
      </c>
      <c r="F2514" s="58" t="s">
        <v>0</v>
      </c>
      <c r="G2514" s="35">
        <f>G2515</f>
        <v>779.6</v>
      </c>
      <c r="H2514" s="35">
        <f t="shared" ref="H2514:K2515" si="1190">H2515</f>
        <v>779.6</v>
      </c>
      <c r="I2514" s="35">
        <f t="shared" si="1190"/>
        <v>779.6</v>
      </c>
      <c r="J2514" s="35">
        <f t="shared" si="1190"/>
        <v>779</v>
      </c>
      <c r="K2514" s="35">
        <f t="shared" si="1190"/>
        <v>778.92665999999997</v>
      </c>
      <c r="L2514" s="35">
        <f t="shared" si="1171"/>
        <v>99.913630066700861</v>
      </c>
      <c r="M2514" s="35">
        <f t="shared" si="1172"/>
        <v>99.913630066700861</v>
      </c>
    </row>
    <row r="2515" spans="1:13" ht="25.5">
      <c r="A2515" s="59" t="s">
        <v>64</v>
      </c>
      <c r="B2515" s="28" t="s">
        <v>940</v>
      </c>
      <c r="C2515" s="28" t="s">
        <v>17</v>
      </c>
      <c r="D2515" s="28" t="s">
        <v>387</v>
      </c>
      <c r="E2515" s="28" t="s">
        <v>970</v>
      </c>
      <c r="F2515" s="28" t="s">
        <v>65</v>
      </c>
      <c r="G2515" s="35">
        <f>G2516</f>
        <v>779.6</v>
      </c>
      <c r="H2515" s="35">
        <f t="shared" si="1190"/>
        <v>779.6</v>
      </c>
      <c r="I2515" s="35">
        <f t="shared" si="1190"/>
        <v>779.6</v>
      </c>
      <c r="J2515" s="35">
        <f t="shared" si="1190"/>
        <v>779</v>
      </c>
      <c r="K2515" s="35">
        <f t="shared" si="1190"/>
        <v>778.92665999999997</v>
      </c>
      <c r="L2515" s="35">
        <f t="shared" si="1171"/>
        <v>99.913630066700861</v>
      </c>
      <c r="M2515" s="35">
        <f t="shared" si="1172"/>
        <v>99.913630066700861</v>
      </c>
    </row>
    <row r="2516" spans="1:13" ht="25.5">
      <c r="A2516" s="59" t="s">
        <v>66</v>
      </c>
      <c r="B2516" s="28" t="s">
        <v>940</v>
      </c>
      <c r="C2516" s="28" t="s">
        <v>17</v>
      </c>
      <c r="D2516" s="28" t="s">
        <v>387</v>
      </c>
      <c r="E2516" s="28" t="s">
        <v>970</v>
      </c>
      <c r="F2516" s="28" t="s">
        <v>67</v>
      </c>
      <c r="G2516" s="35">
        <v>779.6</v>
      </c>
      <c r="H2516" s="35">
        <v>779.6</v>
      </c>
      <c r="I2516" s="35">
        <v>779.6</v>
      </c>
      <c r="J2516" s="35">
        <v>779</v>
      </c>
      <c r="K2516" s="35">
        <v>778.92665999999997</v>
      </c>
      <c r="L2516" s="35">
        <f t="shared" si="1171"/>
        <v>99.913630066700861</v>
      </c>
      <c r="M2516" s="35">
        <f t="shared" si="1172"/>
        <v>99.913630066700861</v>
      </c>
    </row>
    <row r="2517" spans="1:13" ht="25.5">
      <c r="A2517" s="59" t="s">
        <v>748</v>
      </c>
      <c r="B2517" s="28" t="s">
        <v>940</v>
      </c>
      <c r="C2517" s="28" t="s">
        <v>17</v>
      </c>
      <c r="D2517" s="28" t="s">
        <v>387</v>
      </c>
      <c r="E2517" s="28" t="s">
        <v>971</v>
      </c>
      <c r="F2517" s="58" t="s">
        <v>0</v>
      </c>
      <c r="G2517" s="35">
        <f>G2518</f>
        <v>220.4</v>
      </c>
      <c r="H2517" s="35">
        <f t="shared" ref="H2517:K2518" si="1191">H2518</f>
        <v>220.4</v>
      </c>
      <c r="I2517" s="35">
        <f t="shared" si="1191"/>
        <v>220.4</v>
      </c>
      <c r="J2517" s="35">
        <f t="shared" si="1191"/>
        <v>220.4</v>
      </c>
      <c r="K2517" s="35">
        <f t="shared" si="1191"/>
        <v>220.4</v>
      </c>
      <c r="L2517" s="35">
        <f t="shared" si="1171"/>
        <v>100</v>
      </c>
      <c r="M2517" s="35">
        <f t="shared" si="1172"/>
        <v>100</v>
      </c>
    </row>
    <row r="2518" spans="1:13" ht="25.5">
      <c r="A2518" s="59" t="s">
        <v>80</v>
      </c>
      <c r="B2518" s="28" t="s">
        <v>940</v>
      </c>
      <c r="C2518" s="28" t="s">
        <v>17</v>
      </c>
      <c r="D2518" s="28" t="s">
        <v>387</v>
      </c>
      <c r="E2518" s="28" t="s">
        <v>971</v>
      </c>
      <c r="F2518" s="28" t="s">
        <v>81</v>
      </c>
      <c r="G2518" s="35">
        <f>G2519</f>
        <v>220.4</v>
      </c>
      <c r="H2518" s="35">
        <f t="shared" si="1191"/>
        <v>220.4</v>
      </c>
      <c r="I2518" s="35">
        <f t="shared" si="1191"/>
        <v>220.4</v>
      </c>
      <c r="J2518" s="35">
        <f t="shared" si="1191"/>
        <v>220.4</v>
      </c>
      <c r="K2518" s="35">
        <f t="shared" si="1191"/>
        <v>220.4</v>
      </c>
      <c r="L2518" s="35">
        <f t="shared" si="1171"/>
        <v>100</v>
      </c>
      <c r="M2518" s="35">
        <f t="shared" si="1172"/>
        <v>100</v>
      </c>
    </row>
    <row r="2519" spans="1:13">
      <c r="A2519" s="59" t="s">
        <v>82</v>
      </c>
      <c r="B2519" s="28" t="s">
        <v>940</v>
      </c>
      <c r="C2519" s="28" t="s">
        <v>17</v>
      </c>
      <c r="D2519" s="28" t="s">
        <v>387</v>
      </c>
      <c r="E2519" s="28" t="s">
        <v>971</v>
      </c>
      <c r="F2519" s="28" t="s">
        <v>83</v>
      </c>
      <c r="G2519" s="35">
        <v>220.4</v>
      </c>
      <c r="H2519" s="35">
        <v>220.4</v>
      </c>
      <c r="I2519" s="35">
        <v>220.4</v>
      </c>
      <c r="J2519" s="35">
        <v>220.4</v>
      </c>
      <c r="K2519" s="35">
        <v>220.4</v>
      </c>
      <c r="L2519" s="35">
        <f t="shared" si="1171"/>
        <v>100</v>
      </c>
      <c r="M2519" s="35">
        <f t="shared" si="1172"/>
        <v>100</v>
      </c>
    </row>
    <row r="2520" spans="1:13" ht="38.25">
      <c r="A2520" s="59" t="s">
        <v>734</v>
      </c>
      <c r="B2520" s="28" t="s">
        <v>940</v>
      </c>
      <c r="C2520" s="28" t="s">
        <v>17</v>
      </c>
      <c r="D2520" s="28" t="s">
        <v>387</v>
      </c>
      <c r="E2520" s="28" t="s">
        <v>735</v>
      </c>
      <c r="F2520" s="58" t="s">
        <v>0</v>
      </c>
      <c r="G2520" s="35">
        <f>G2521+G2530+G2539+G2546</f>
        <v>249403.69999999998</v>
      </c>
      <c r="H2520" s="35">
        <f t="shared" ref="H2520:K2520" si="1192">H2521+H2530+H2539+H2546</f>
        <v>249061.34986000002</v>
      </c>
      <c r="I2520" s="35">
        <f t="shared" si="1192"/>
        <v>174178.14805000002</v>
      </c>
      <c r="J2520" s="35">
        <f t="shared" si="1192"/>
        <v>174178.14805000002</v>
      </c>
      <c r="K2520" s="35">
        <f t="shared" si="1192"/>
        <v>162605.96184999999</v>
      </c>
      <c r="L2520" s="35">
        <f t="shared" si="1171"/>
        <v>65.287513273899179</v>
      </c>
      <c r="M2520" s="35">
        <f t="shared" si="1172"/>
        <v>93.356120541206991</v>
      </c>
    </row>
    <row r="2521" spans="1:13" ht="63.75">
      <c r="A2521" s="59" t="s">
        <v>972</v>
      </c>
      <c r="B2521" s="28" t="s">
        <v>940</v>
      </c>
      <c r="C2521" s="28" t="s">
        <v>17</v>
      </c>
      <c r="D2521" s="28" t="s">
        <v>387</v>
      </c>
      <c r="E2521" s="28" t="s">
        <v>973</v>
      </c>
      <c r="F2521" s="58" t="s">
        <v>0</v>
      </c>
      <c r="G2521" s="35">
        <f>G2525</f>
        <v>8492.5</v>
      </c>
      <c r="H2521" s="35">
        <f>H2525+H2522</f>
        <v>9389.11</v>
      </c>
      <c r="I2521" s="35">
        <f t="shared" ref="I2521:K2521" si="1193">I2525+I2522</f>
        <v>6055.6460000000006</v>
      </c>
      <c r="J2521" s="35">
        <f t="shared" si="1193"/>
        <v>6055.6460000000006</v>
      </c>
      <c r="K2521" s="35">
        <f t="shared" si="1193"/>
        <v>5691.2658000000001</v>
      </c>
      <c r="L2521" s="35">
        <f t="shared" si="1171"/>
        <v>60.615604673925425</v>
      </c>
      <c r="M2521" s="35">
        <f t="shared" si="1172"/>
        <v>93.982802165119949</v>
      </c>
    </row>
    <row r="2522" spans="1:13" s="92" customFormat="1" ht="25.5">
      <c r="A2522" s="62" t="s">
        <v>1275</v>
      </c>
      <c r="B2522" s="28" t="s">
        <v>940</v>
      </c>
      <c r="C2522" s="28" t="s">
        <v>17</v>
      </c>
      <c r="D2522" s="28" t="s">
        <v>387</v>
      </c>
      <c r="E2522" s="29" t="s">
        <v>1274</v>
      </c>
      <c r="F2522" s="58"/>
      <c r="G2522" s="35"/>
      <c r="H2522" s="35">
        <f>H2523</f>
        <v>896.61</v>
      </c>
      <c r="I2522" s="35">
        <f t="shared" ref="I2522:K2523" si="1194">I2523</f>
        <v>0</v>
      </c>
      <c r="J2522" s="35">
        <f t="shared" si="1194"/>
        <v>0</v>
      </c>
      <c r="K2522" s="35">
        <f t="shared" si="1194"/>
        <v>0</v>
      </c>
      <c r="L2522" s="35">
        <f t="shared" si="1171"/>
        <v>0</v>
      </c>
      <c r="M2522" s="35">
        <v>0</v>
      </c>
    </row>
    <row r="2523" spans="1:13" s="92" customFormat="1" ht="25.5">
      <c r="A2523" s="59" t="s">
        <v>64</v>
      </c>
      <c r="B2523" s="28" t="s">
        <v>940</v>
      </c>
      <c r="C2523" s="28" t="s">
        <v>17</v>
      </c>
      <c r="D2523" s="28" t="s">
        <v>387</v>
      </c>
      <c r="E2523" s="29" t="s">
        <v>1274</v>
      </c>
      <c r="F2523" s="28">
        <v>200</v>
      </c>
      <c r="G2523" s="35"/>
      <c r="H2523" s="35">
        <f>H2524</f>
        <v>896.61</v>
      </c>
      <c r="I2523" s="35">
        <f t="shared" si="1194"/>
        <v>0</v>
      </c>
      <c r="J2523" s="35">
        <f t="shared" si="1194"/>
        <v>0</v>
      </c>
      <c r="K2523" s="35">
        <f t="shared" si="1194"/>
        <v>0</v>
      </c>
      <c r="L2523" s="35">
        <f t="shared" si="1171"/>
        <v>0</v>
      </c>
      <c r="M2523" s="35">
        <v>0</v>
      </c>
    </row>
    <row r="2524" spans="1:13" s="92" customFormat="1" ht="25.5">
      <c r="A2524" s="59" t="s">
        <v>66</v>
      </c>
      <c r="B2524" s="28" t="s">
        <v>940</v>
      </c>
      <c r="C2524" s="28" t="s">
        <v>17</v>
      </c>
      <c r="D2524" s="28" t="s">
        <v>387</v>
      </c>
      <c r="E2524" s="29" t="s">
        <v>1274</v>
      </c>
      <c r="F2524" s="28">
        <v>240</v>
      </c>
      <c r="G2524" s="35"/>
      <c r="H2524" s="35">
        <v>896.61</v>
      </c>
      <c r="I2524" s="35">
        <v>0</v>
      </c>
      <c r="J2524" s="35">
        <v>0</v>
      </c>
      <c r="K2524" s="35">
        <v>0</v>
      </c>
      <c r="L2524" s="35">
        <f t="shared" si="1171"/>
        <v>0</v>
      </c>
      <c r="M2524" s="35">
        <v>0</v>
      </c>
    </row>
    <row r="2525" spans="1:13" ht="25.5">
      <c r="A2525" s="59" t="s">
        <v>76</v>
      </c>
      <c r="B2525" s="28" t="s">
        <v>940</v>
      </c>
      <c r="C2525" s="28" t="s">
        <v>17</v>
      </c>
      <c r="D2525" s="28" t="s">
        <v>387</v>
      </c>
      <c r="E2525" s="28" t="s">
        <v>974</v>
      </c>
      <c r="F2525" s="58" t="s">
        <v>0</v>
      </c>
      <c r="G2525" s="35">
        <f>G2526+G2528</f>
        <v>8492.5</v>
      </c>
      <c r="H2525" s="35">
        <f t="shared" ref="H2525:K2525" si="1195">H2526+H2528</f>
        <v>8492.5</v>
      </c>
      <c r="I2525" s="35">
        <f t="shared" si="1195"/>
        <v>6055.6460000000006</v>
      </c>
      <c r="J2525" s="35">
        <f t="shared" si="1195"/>
        <v>6055.6460000000006</v>
      </c>
      <c r="K2525" s="35">
        <f t="shared" si="1195"/>
        <v>5691.2658000000001</v>
      </c>
      <c r="L2525" s="35">
        <f t="shared" si="1171"/>
        <v>67.015199293494263</v>
      </c>
      <c r="M2525" s="35">
        <f t="shared" si="1172"/>
        <v>93.982802165119949</v>
      </c>
    </row>
    <row r="2526" spans="1:13" ht="63.75">
      <c r="A2526" s="59" t="s">
        <v>60</v>
      </c>
      <c r="B2526" s="28" t="s">
        <v>940</v>
      </c>
      <c r="C2526" s="28" t="s">
        <v>17</v>
      </c>
      <c r="D2526" s="28" t="s">
        <v>387</v>
      </c>
      <c r="E2526" s="28" t="s">
        <v>974</v>
      </c>
      <c r="F2526" s="28" t="s">
        <v>61</v>
      </c>
      <c r="G2526" s="35">
        <f>G2527</f>
        <v>4694.3999999999996</v>
      </c>
      <c r="H2526" s="35">
        <f t="shared" ref="H2526:K2526" si="1196">H2527</f>
        <v>4694.3999999999996</v>
      </c>
      <c r="I2526" s="35">
        <f t="shared" si="1196"/>
        <v>3446</v>
      </c>
      <c r="J2526" s="35">
        <f t="shared" si="1196"/>
        <v>3446</v>
      </c>
      <c r="K2526" s="35">
        <f t="shared" si="1196"/>
        <v>3412.5684300000003</v>
      </c>
      <c r="L2526" s="35">
        <f t="shared" si="1171"/>
        <v>72.69445360429448</v>
      </c>
      <c r="M2526" s="35">
        <f t="shared" si="1172"/>
        <v>99.02984416715033</v>
      </c>
    </row>
    <row r="2527" spans="1:13">
      <c r="A2527" s="59" t="s">
        <v>78</v>
      </c>
      <c r="B2527" s="28" t="s">
        <v>940</v>
      </c>
      <c r="C2527" s="28" t="s">
        <v>17</v>
      </c>
      <c r="D2527" s="28" t="s">
        <v>387</v>
      </c>
      <c r="E2527" s="28" t="s">
        <v>974</v>
      </c>
      <c r="F2527" s="28" t="s">
        <v>79</v>
      </c>
      <c r="G2527" s="35">
        <v>4694.3999999999996</v>
      </c>
      <c r="H2527" s="35">
        <f>3418.9+223+1052.5</f>
        <v>4694.3999999999996</v>
      </c>
      <c r="I2527" s="35">
        <f>2520+140+786</f>
        <v>3446</v>
      </c>
      <c r="J2527" s="35">
        <f>2520+140+786</f>
        <v>3446</v>
      </c>
      <c r="K2527" s="35">
        <f>2518.76305+134.2822+759.52318</f>
        <v>3412.5684300000003</v>
      </c>
      <c r="L2527" s="35">
        <f t="shared" si="1171"/>
        <v>72.69445360429448</v>
      </c>
      <c r="M2527" s="35">
        <f t="shared" si="1172"/>
        <v>99.02984416715033</v>
      </c>
    </row>
    <row r="2528" spans="1:13" ht="25.5">
      <c r="A2528" s="59" t="s">
        <v>64</v>
      </c>
      <c r="B2528" s="28" t="s">
        <v>940</v>
      </c>
      <c r="C2528" s="28" t="s">
        <v>17</v>
      </c>
      <c r="D2528" s="28" t="s">
        <v>387</v>
      </c>
      <c r="E2528" s="28" t="s">
        <v>974</v>
      </c>
      <c r="F2528" s="28" t="s">
        <v>65</v>
      </c>
      <c r="G2528" s="35">
        <f>G2529</f>
        <v>3798.1</v>
      </c>
      <c r="H2528" s="35">
        <f t="shared" ref="H2528:K2528" si="1197">H2529</f>
        <v>3798.1</v>
      </c>
      <c r="I2528" s="35">
        <f t="shared" si="1197"/>
        <v>2609.6460000000002</v>
      </c>
      <c r="J2528" s="35">
        <f t="shared" si="1197"/>
        <v>2609.6460000000002</v>
      </c>
      <c r="K2528" s="35">
        <f t="shared" si="1197"/>
        <v>2278.6973699999999</v>
      </c>
      <c r="L2528" s="35">
        <f t="shared" si="1171"/>
        <v>59.995718122219003</v>
      </c>
      <c r="M2528" s="35">
        <f t="shared" si="1172"/>
        <v>87.318255809408612</v>
      </c>
    </row>
    <row r="2529" spans="1:13" ht="25.5">
      <c r="A2529" s="59" t="s">
        <v>66</v>
      </c>
      <c r="B2529" s="28" t="s">
        <v>940</v>
      </c>
      <c r="C2529" s="28" t="s">
        <v>17</v>
      </c>
      <c r="D2529" s="28" t="s">
        <v>387</v>
      </c>
      <c r="E2529" s="28" t="s">
        <v>974</v>
      </c>
      <c r="F2529" s="28" t="s">
        <v>67</v>
      </c>
      <c r="G2529" s="35">
        <v>3798.1</v>
      </c>
      <c r="H2529" s="35">
        <v>3798.1</v>
      </c>
      <c r="I2529" s="35">
        <v>2609.6460000000002</v>
      </c>
      <c r="J2529" s="35">
        <v>2609.6460000000002</v>
      </c>
      <c r="K2529" s="35">
        <v>2278.6973699999999</v>
      </c>
      <c r="L2529" s="35">
        <f t="shared" si="1171"/>
        <v>59.995718122219003</v>
      </c>
      <c r="M2529" s="35">
        <f t="shared" si="1172"/>
        <v>87.318255809408612</v>
      </c>
    </row>
    <row r="2530" spans="1:13" ht="51" hidden="1">
      <c r="A2530" s="59" t="s">
        <v>975</v>
      </c>
      <c r="B2530" s="28" t="s">
        <v>940</v>
      </c>
      <c r="C2530" s="28" t="s">
        <v>17</v>
      </c>
      <c r="D2530" s="28" t="s">
        <v>387</v>
      </c>
      <c r="E2530" s="28" t="s">
        <v>976</v>
      </c>
      <c r="F2530" s="58" t="s">
        <v>0</v>
      </c>
      <c r="G2530" s="35">
        <f>G2531+G2534</f>
        <v>0</v>
      </c>
      <c r="H2530" s="35">
        <f t="shared" ref="H2530:K2530" si="1198">H2531+H2534</f>
        <v>0</v>
      </c>
      <c r="I2530" s="35">
        <f t="shared" si="1198"/>
        <v>0</v>
      </c>
      <c r="J2530" s="35">
        <f t="shared" si="1198"/>
        <v>0</v>
      </c>
      <c r="K2530" s="35">
        <f t="shared" si="1198"/>
        <v>0</v>
      </c>
      <c r="L2530" s="35" t="e">
        <f t="shared" si="1171"/>
        <v>#DIV/0!</v>
      </c>
      <c r="M2530" s="35" t="e">
        <f t="shared" si="1172"/>
        <v>#DIV/0!</v>
      </c>
    </row>
    <row r="2531" spans="1:13" ht="25.5" hidden="1">
      <c r="A2531" s="59" t="s">
        <v>76</v>
      </c>
      <c r="B2531" s="28" t="s">
        <v>940</v>
      </c>
      <c r="C2531" s="28" t="s">
        <v>17</v>
      </c>
      <c r="D2531" s="28" t="s">
        <v>387</v>
      </c>
      <c r="E2531" s="28" t="s">
        <v>977</v>
      </c>
      <c r="F2531" s="58" t="s">
        <v>0</v>
      </c>
      <c r="G2531" s="35">
        <f>G2532</f>
        <v>0</v>
      </c>
      <c r="H2531" s="35">
        <f t="shared" ref="H2531:K2532" si="1199">H2532</f>
        <v>0</v>
      </c>
      <c r="I2531" s="35">
        <f t="shared" si="1199"/>
        <v>0</v>
      </c>
      <c r="J2531" s="35">
        <f t="shared" si="1199"/>
        <v>0</v>
      </c>
      <c r="K2531" s="35">
        <f t="shared" si="1199"/>
        <v>0</v>
      </c>
      <c r="L2531" s="35" t="e">
        <f t="shared" ref="L2531:L2594" si="1200">K2531/H2531*100</f>
        <v>#DIV/0!</v>
      </c>
      <c r="M2531" s="35" t="e">
        <f t="shared" ref="M2531:M2594" si="1201">K2531/I2531*100</f>
        <v>#DIV/0!</v>
      </c>
    </row>
    <row r="2532" spans="1:13" ht="25.5" hidden="1">
      <c r="A2532" s="59" t="s">
        <v>80</v>
      </c>
      <c r="B2532" s="28" t="s">
        <v>940</v>
      </c>
      <c r="C2532" s="28" t="s">
        <v>17</v>
      </c>
      <c r="D2532" s="28" t="s">
        <v>387</v>
      </c>
      <c r="E2532" s="28" t="s">
        <v>977</v>
      </c>
      <c r="F2532" s="28" t="s">
        <v>81</v>
      </c>
      <c r="G2532" s="35">
        <f>G2533</f>
        <v>0</v>
      </c>
      <c r="H2532" s="35">
        <f t="shared" si="1199"/>
        <v>0</v>
      </c>
      <c r="I2532" s="35">
        <f t="shared" si="1199"/>
        <v>0</v>
      </c>
      <c r="J2532" s="35">
        <f t="shared" si="1199"/>
        <v>0</v>
      </c>
      <c r="K2532" s="35">
        <f t="shared" si="1199"/>
        <v>0</v>
      </c>
      <c r="L2532" s="35" t="e">
        <f t="shared" si="1200"/>
        <v>#DIV/0!</v>
      </c>
      <c r="M2532" s="35" t="e">
        <f t="shared" si="1201"/>
        <v>#DIV/0!</v>
      </c>
    </row>
    <row r="2533" spans="1:13" hidden="1">
      <c r="A2533" s="59" t="s">
        <v>82</v>
      </c>
      <c r="B2533" s="28" t="s">
        <v>940</v>
      </c>
      <c r="C2533" s="28" t="s">
        <v>17</v>
      </c>
      <c r="D2533" s="28" t="s">
        <v>387</v>
      </c>
      <c r="E2533" s="28" t="s">
        <v>977</v>
      </c>
      <c r="F2533" s="28" t="s">
        <v>83</v>
      </c>
      <c r="G2533" s="35"/>
      <c r="H2533" s="35">
        <v>0</v>
      </c>
      <c r="I2533" s="35">
        <v>0</v>
      </c>
      <c r="J2533" s="35">
        <v>0</v>
      </c>
      <c r="K2533" s="35">
        <v>0</v>
      </c>
      <c r="L2533" s="35" t="e">
        <f t="shared" si="1200"/>
        <v>#DIV/0!</v>
      </c>
      <c r="M2533" s="35" t="e">
        <f t="shared" si="1201"/>
        <v>#DIV/0!</v>
      </c>
    </row>
    <row r="2534" spans="1:13" ht="25.5" hidden="1">
      <c r="A2534" s="59" t="s">
        <v>748</v>
      </c>
      <c r="B2534" s="28" t="s">
        <v>940</v>
      </c>
      <c r="C2534" s="28" t="s">
        <v>17</v>
      </c>
      <c r="D2534" s="28" t="s">
        <v>387</v>
      </c>
      <c r="E2534" s="28" t="s">
        <v>978</v>
      </c>
      <c r="F2534" s="58" t="s">
        <v>0</v>
      </c>
      <c r="G2534" s="35">
        <f>G2535+G2537</f>
        <v>0</v>
      </c>
      <c r="H2534" s="35">
        <f t="shared" ref="H2534:K2534" si="1202">H2535+H2537</f>
        <v>0</v>
      </c>
      <c r="I2534" s="35">
        <f t="shared" si="1202"/>
        <v>0</v>
      </c>
      <c r="J2534" s="35">
        <f t="shared" si="1202"/>
        <v>0</v>
      </c>
      <c r="K2534" s="35">
        <f t="shared" si="1202"/>
        <v>0</v>
      </c>
      <c r="L2534" s="35" t="e">
        <f t="shared" si="1200"/>
        <v>#DIV/0!</v>
      </c>
      <c r="M2534" s="35" t="e">
        <f t="shared" si="1201"/>
        <v>#DIV/0!</v>
      </c>
    </row>
    <row r="2535" spans="1:13" ht="25.5" hidden="1">
      <c r="A2535" s="59" t="s">
        <v>39</v>
      </c>
      <c r="B2535" s="28" t="s">
        <v>940</v>
      </c>
      <c r="C2535" s="28" t="s">
        <v>17</v>
      </c>
      <c r="D2535" s="28" t="s">
        <v>387</v>
      </c>
      <c r="E2535" s="28" t="s">
        <v>978</v>
      </c>
      <c r="F2535" s="28" t="s">
        <v>40</v>
      </c>
      <c r="G2535" s="35">
        <f>G2536</f>
        <v>0</v>
      </c>
      <c r="H2535" s="35">
        <f t="shared" ref="H2535:K2535" si="1203">H2536</f>
        <v>0</v>
      </c>
      <c r="I2535" s="35">
        <f t="shared" si="1203"/>
        <v>0</v>
      </c>
      <c r="J2535" s="35">
        <f t="shared" si="1203"/>
        <v>0</v>
      </c>
      <c r="K2535" s="35">
        <f t="shared" si="1203"/>
        <v>0</v>
      </c>
      <c r="L2535" s="35" t="e">
        <f t="shared" si="1200"/>
        <v>#DIV/0!</v>
      </c>
      <c r="M2535" s="35" t="e">
        <f t="shared" si="1201"/>
        <v>#DIV/0!</v>
      </c>
    </row>
    <row r="2536" spans="1:13" ht="89.25" hidden="1">
      <c r="A2536" s="59" t="s">
        <v>410</v>
      </c>
      <c r="B2536" s="28" t="s">
        <v>940</v>
      </c>
      <c r="C2536" s="28" t="s">
        <v>17</v>
      </c>
      <c r="D2536" s="28" t="s">
        <v>387</v>
      </c>
      <c r="E2536" s="28" t="s">
        <v>978</v>
      </c>
      <c r="F2536" s="28" t="s">
        <v>411</v>
      </c>
      <c r="G2536" s="35"/>
      <c r="H2536" s="35">
        <v>0</v>
      </c>
      <c r="I2536" s="35">
        <v>0</v>
      </c>
      <c r="J2536" s="35">
        <v>0</v>
      </c>
      <c r="K2536" s="35">
        <v>0</v>
      </c>
      <c r="L2536" s="35" t="e">
        <f t="shared" si="1200"/>
        <v>#DIV/0!</v>
      </c>
      <c r="M2536" s="35" t="e">
        <f t="shared" si="1201"/>
        <v>#DIV/0!</v>
      </c>
    </row>
    <row r="2537" spans="1:13" ht="25.5" hidden="1">
      <c r="A2537" s="59" t="s">
        <v>80</v>
      </c>
      <c r="B2537" s="28" t="s">
        <v>940</v>
      </c>
      <c r="C2537" s="28" t="s">
        <v>17</v>
      </c>
      <c r="D2537" s="28" t="s">
        <v>387</v>
      </c>
      <c r="E2537" s="28" t="s">
        <v>978</v>
      </c>
      <c r="F2537" s="28" t="s">
        <v>81</v>
      </c>
      <c r="G2537" s="35">
        <f>G2538</f>
        <v>0</v>
      </c>
      <c r="H2537" s="35">
        <f t="shared" ref="H2537:K2537" si="1204">H2538</f>
        <v>0</v>
      </c>
      <c r="I2537" s="35">
        <f t="shared" si="1204"/>
        <v>0</v>
      </c>
      <c r="J2537" s="35">
        <f t="shared" si="1204"/>
        <v>0</v>
      </c>
      <c r="K2537" s="35">
        <f t="shared" si="1204"/>
        <v>0</v>
      </c>
      <c r="L2537" s="35" t="e">
        <f t="shared" si="1200"/>
        <v>#DIV/0!</v>
      </c>
      <c r="M2537" s="35" t="e">
        <f t="shared" si="1201"/>
        <v>#DIV/0!</v>
      </c>
    </row>
    <row r="2538" spans="1:13" hidden="1">
      <c r="A2538" s="59" t="s">
        <v>82</v>
      </c>
      <c r="B2538" s="28" t="s">
        <v>940</v>
      </c>
      <c r="C2538" s="28" t="s">
        <v>17</v>
      </c>
      <c r="D2538" s="28" t="s">
        <v>387</v>
      </c>
      <c r="E2538" s="28" t="s">
        <v>978</v>
      </c>
      <c r="F2538" s="28" t="s">
        <v>83</v>
      </c>
      <c r="G2538" s="35"/>
      <c r="H2538" s="35">
        <v>0</v>
      </c>
      <c r="I2538" s="35">
        <v>0</v>
      </c>
      <c r="J2538" s="35">
        <v>0</v>
      </c>
      <c r="K2538" s="35">
        <v>0</v>
      </c>
      <c r="L2538" s="35" t="e">
        <f t="shared" si="1200"/>
        <v>#DIV/0!</v>
      </c>
      <c r="M2538" s="35" t="e">
        <f t="shared" si="1201"/>
        <v>#DIV/0!</v>
      </c>
    </row>
    <row r="2539" spans="1:13" ht="38.25" hidden="1">
      <c r="A2539" s="59" t="s">
        <v>979</v>
      </c>
      <c r="B2539" s="28" t="s">
        <v>940</v>
      </c>
      <c r="C2539" s="28" t="s">
        <v>17</v>
      </c>
      <c r="D2539" s="28" t="s">
        <v>387</v>
      </c>
      <c r="E2539" s="28" t="s">
        <v>980</v>
      </c>
      <c r="F2539" s="58" t="s">
        <v>0</v>
      </c>
      <c r="G2539" s="35">
        <f>G2540+G2543</f>
        <v>0</v>
      </c>
      <c r="H2539" s="35">
        <f t="shared" ref="H2539:K2539" si="1205">H2540+H2543</f>
        <v>0</v>
      </c>
      <c r="I2539" s="35">
        <f t="shared" si="1205"/>
        <v>0</v>
      </c>
      <c r="J2539" s="35">
        <f t="shared" si="1205"/>
        <v>0</v>
      </c>
      <c r="K2539" s="35">
        <f t="shared" si="1205"/>
        <v>0</v>
      </c>
      <c r="L2539" s="35" t="e">
        <f t="shared" si="1200"/>
        <v>#DIV/0!</v>
      </c>
      <c r="M2539" s="35" t="e">
        <f t="shared" si="1201"/>
        <v>#DIV/0!</v>
      </c>
    </row>
    <row r="2540" spans="1:13" ht="25.5" hidden="1">
      <c r="A2540" s="59" t="s">
        <v>76</v>
      </c>
      <c r="B2540" s="28" t="s">
        <v>940</v>
      </c>
      <c r="C2540" s="28" t="s">
        <v>17</v>
      </c>
      <c r="D2540" s="28" t="s">
        <v>387</v>
      </c>
      <c r="E2540" s="28" t="s">
        <v>981</v>
      </c>
      <c r="F2540" s="58" t="s">
        <v>0</v>
      </c>
      <c r="G2540" s="35">
        <f>G2541</f>
        <v>0</v>
      </c>
      <c r="H2540" s="35">
        <f t="shared" ref="H2540:K2541" si="1206">H2541</f>
        <v>0</v>
      </c>
      <c r="I2540" s="35">
        <f t="shared" si="1206"/>
        <v>0</v>
      </c>
      <c r="J2540" s="35">
        <f t="shared" si="1206"/>
        <v>0</v>
      </c>
      <c r="K2540" s="35">
        <f t="shared" si="1206"/>
        <v>0</v>
      </c>
      <c r="L2540" s="35" t="e">
        <f t="shared" si="1200"/>
        <v>#DIV/0!</v>
      </c>
      <c r="M2540" s="35" t="e">
        <f t="shared" si="1201"/>
        <v>#DIV/0!</v>
      </c>
    </row>
    <row r="2541" spans="1:13" ht="25.5" hidden="1">
      <c r="A2541" s="59" t="s">
        <v>80</v>
      </c>
      <c r="B2541" s="28" t="s">
        <v>940</v>
      </c>
      <c r="C2541" s="28" t="s">
        <v>17</v>
      </c>
      <c r="D2541" s="28" t="s">
        <v>387</v>
      </c>
      <c r="E2541" s="28" t="s">
        <v>981</v>
      </c>
      <c r="F2541" s="28" t="s">
        <v>81</v>
      </c>
      <c r="G2541" s="35">
        <f>G2542</f>
        <v>0</v>
      </c>
      <c r="H2541" s="35">
        <f t="shared" si="1206"/>
        <v>0</v>
      </c>
      <c r="I2541" s="35">
        <f t="shared" si="1206"/>
        <v>0</v>
      </c>
      <c r="J2541" s="35">
        <f t="shared" si="1206"/>
        <v>0</v>
      </c>
      <c r="K2541" s="35">
        <f t="shared" si="1206"/>
        <v>0</v>
      </c>
      <c r="L2541" s="35" t="e">
        <f t="shared" si="1200"/>
        <v>#DIV/0!</v>
      </c>
      <c r="M2541" s="35" t="e">
        <f t="shared" si="1201"/>
        <v>#DIV/0!</v>
      </c>
    </row>
    <row r="2542" spans="1:13" hidden="1">
      <c r="A2542" s="59" t="s">
        <v>82</v>
      </c>
      <c r="B2542" s="28" t="s">
        <v>940</v>
      </c>
      <c r="C2542" s="28" t="s">
        <v>17</v>
      </c>
      <c r="D2542" s="28" t="s">
        <v>387</v>
      </c>
      <c r="E2542" s="28" t="s">
        <v>981</v>
      </c>
      <c r="F2542" s="28" t="s">
        <v>83</v>
      </c>
      <c r="G2542" s="35"/>
      <c r="H2542" s="35"/>
      <c r="I2542" s="35"/>
      <c r="J2542" s="35"/>
      <c r="K2542" s="35"/>
      <c r="L2542" s="35" t="e">
        <f t="shared" si="1200"/>
        <v>#DIV/0!</v>
      </c>
      <c r="M2542" s="35" t="e">
        <f t="shared" si="1201"/>
        <v>#DIV/0!</v>
      </c>
    </row>
    <row r="2543" spans="1:13" ht="25.5" hidden="1">
      <c r="A2543" s="59" t="s">
        <v>748</v>
      </c>
      <c r="B2543" s="28" t="s">
        <v>940</v>
      </c>
      <c r="C2543" s="28" t="s">
        <v>17</v>
      </c>
      <c r="D2543" s="28" t="s">
        <v>387</v>
      </c>
      <c r="E2543" s="28" t="s">
        <v>982</v>
      </c>
      <c r="F2543" s="58" t="s">
        <v>0</v>
      </c>
      <c r="G2543" s="35">
        <f>G2544</f>
        <v>0</v>
      </c>
      <c r="H2543" s="35">
        <f t="shared" ref="H2543:K2544" si="1207">H2544</f>
        <v>0</v>
      </c>
      <c r="I2543" s="35">
        <f t="shared" si="1207"/>
        <v>0</v>
      </c>
      <c r="J2543" s="35">
        <f t="shared" si="1207"/>
        <v>0</v>
      </c>
      <c r="K2543" s="35">
        <f t="shared" si="1207"/>
        <v>0</v>
      </c>
      <c r="L2543" s="35" t="e">
        <f t="shared" si="1200"/>
        <v>#DIV/0!</v>
      </c>
      <c r="M2543" s="35" t="e">
        <f t="shared" si="1201"/>
        <v>#DIV/0!</v>
      </c>
    </row>
    <row r="2544" spans="1:13" ht="25.5" hidden="1">
      <c r="A2544" s="59" t="s">
        <v>80</v>
      </c>
      <c r="B2544" s="28" t="s">
        <v>940</v>
      </c>
      <c r="C2544" s="28" t="s">
        <v>17</v>
      </c>
      <c r="D2544" s="28" t="s">
        <v>387</v>
      </c>
      <c r="E2544" s="28" t="s">
        <v>982</v>
      </c>
      <c r="F2544" s="28" t="s">
        <v>81</v>
      </c>
      <c r="G2544" s="35">
        <f>G2545</f>
        <v>0</v>
      </c>
      <c r="H2544" s="35">
        <f t="shared" si="1207"/>
        <v>0</v>
      </c>
      <c r="I2544" s="35">
        <f t="shared" si="1207"/>
        <v>0</v>
      </c>
      <c r="J2544" s="35">
        <f t="shared" si="1207"/>
        <v>0</v>
      </c>
      <c r="K2544" s="35">
        <f t="shared" si="1207"/>
        <v>0</v>
      </c>
      <c r="L2544" s="35" t="e">
        <f t="shared" si="1200"/>
        <v>#DIV/0!</v>
      </c>
      <c r="M2544" s="35" t="e">
        <f t="shared" si="1201"/>
        <v>#DIV/0!</v>
      </c>
    </row>
    <row r="2545" spans="1:13" hidden="1">
      <c r="A2545" s="59" t="s">
        <v>82</v>
      </c>
      <c r="B2545" s="28" t="s">
        <v>940</v>
      </c>
      <c r="C2545" s="28" t="s">
        <v>17</v>
      </c>
      <c r="D2545" s="28" t="s">
        <v>387</v>
      </c>
      <c r="E2545" s="28" t="s">
        <v>982</v>
      </c>
      <c r="F2545" s="28" t="s">
        <v>83</v>
      </c>
      <c r="G2545" s="35"/>
      <c r="H2545" s="35">
        <v>0</v>
      </c>
      <c r="I2545" s="35">
        <v>0</v>
      </c>
      <c r="J2545" s="35">
        <v>0</v>
      </c>
      <c r="K2545" s="35">
        <v>0</v>
      </c>
      <c r="L2545" s="35" t="e">
        <f t="shared" si="1200"/>
        <v>#DIV/0!</v>
      </c>
      <c r="M2545" s="35" t="e">
        <f t="shared" si="1201"/>
        <v>#DIV/0!</v>
      </c>
    </row>
    <row r="2546" spans="1:13" ht="38.25">
      <c r="A2546" s="59" t="s">
        <v>736</v>
      </c>
      <c r="B2546" s="28" t="s">
        <v>940</v>
      </c>
      <c r="C2546" s="28" t="s">
        <v>17</v>
      </c>
      <c r="D2546" s="28" t="s">
        <v>387</v>
      </c>
      <c r="E2546" s="28" t="s">
        <v>737</v>
      </c>
      <c r="F2546" s="58" t="s">
        <v>0</v>
      </c>
      <c r="G2546" s="35">
        <f>G2547+G2554</f>
        <v>240911.19999999998</v>
      </c>
      <c r="H2546" s="35">
        <f t="shared" ref="H2546:K2546" si="1208">H2547+H2554</f>
        <v>239672.23986</v>
      </c>
      <c r="I2546" s="35">
        <f t="shared" si="1208"/>
        <v>168122.50205000001</v>
      </c>
      <c r="J2546" s="35">
        <f t="shared" si="1208"/>
        <v>168122.50205000001</v>
      </c>
      <c r="K2546" s="35">
        <f t="shared" si="1208"/>
        <v>156914.69605</v>
      </c>
      <c r="L2546" s="35">
        <f t="shared" si="1200"/>
        <v>65.470534318725754</v>
      </c>
      <c r="M2546" s="35">
        <f t="shared" si="1201"/>
        <v>93.333547940735031</v>
      </c>
    </row>
    <row r="2547" spans="1:13" ht="25.5">
      <c r="A2547" s="59" t="s">
        <v>58</v>
      </c>
      <c r="B2547" s="28" t="s">
        <v>940</v>
      </c>
      <c r="C2547" s="28" t="s">
        <v>17</v>
      </c>
      <c r="D2547" s="28" t="s">
        <v>387</v>
      </c>
      <c r="E2547" s="28" t="s">
        <v>738</v>
      </c>
      <c r="F2547" s="58" t="s">
        <v>0</v>
      </c>
      <c r="G2547" s="35">
        <f>G2548+G2550+G2552</f>
        <v>40898.6</v>
      </c>
      <c r="H2547" s="35">
        <f t="shared" ref="H2547:K2547" si="1209">H2548+H2550+H2552</f>
        <v>40898.6</v>
      </c>
      <c r="I2547" s="35">
        <f t="shared" si="1209"/>
        <v>32500.044999999998</v>
      </c>
      <c r="J2547" s="35">
        <f t="shared" si="1209"/>
        <v>32500.044999999998</v>
      </c>
      <c r="K2547" s="35">
        <f t="shared" si="1209"/>
        <v>28022.796890000001</v>
      </c>
      <c r="L2547" s="35">
        <f t="shared" si="1200"/>
        <v>68.517741169624387</v>
      </c>
      <c r="M2547" s="35">
        <f t="shared" si="1201"/>
        <v>86.223871043870872</v>
      </c>
    </row>
    <row r="2548" spans="1:13" ht="63.75">
      <c r="A2548" s="59" t="s">
        <v>60</v>
      </c>
      <c r="B2548" s="28" t="s">
        <v>940</v>
      </c>
      <c r="C2548" s="28" t="s">
        <v>17</v>
      </c>
      <c r="D2548" s="28" t="s">
        <v>387</v>
      </c>
      <c r="E2548" s="28" t="s">
        <v>738</v>
      </c>
      <c r="F2548" s="28" t="s">
        <v>61</v>
      </c>
      <c r="G2548" s="35">
        <f>G2549</f>
        <v>18010</v>
      </c>
      <c r="H2548" s="35">
        <f t="shared" ref="H2548:K2548" si="1210">H2549</f>
        <v>18010</v>
      </c>
      <c r="I2548" s="35">
        <f t="shared" si="1210"/>
        <v>13583.594999999999</v>
      </c>
      <c r="J2548" s="35">
        <f t="shared" si="1210"/>
        <v>13583.594999999999</v>
      </c>
      <c r="K2548" s="35">
        <f t="shared" si="1210"/>
        <v>11464.595170000001</v>
      </c>
      <c r="L2548" s="35">
        <f t="shared" si="1200"/>
        <v>63.656830483064965</v>
      </c>
      <c r="M2548" s="35">
        <f t="shared" si="1201"/>
        <v>84.400301761058103</v>
      </c>
    </row>
    <row r="2549" spans="1:13" ht="25.5">
      <c r="A2549" s="59" t="s">
        <v>62</v>
      </c>
      <c r="B2549" s="28" t="s">
        <v>940</v>
      </c>
      <c r="C2549" s="28" t="s">
        <v>17</v>
      </c>
      <c r="D2549" s="28" t="s">
        <v>387</v>
      </c>
      <c r="E2549" s="28" t="s">
        <v>738</v>
      </c>
      <c r="F2549" s="28" t="s">
        <v>63</v>
      </c>
      <c r="G2549" s="35">
        <v>18010</v>
      </c>
      <c r="H2549" s="35">
        <f>13858.8+596.9+3554.3</f>
        <v>18010</v>
      </c>
      <c r="I2549" s="35">
        <f>10394.1+464.4+2725.095</f>
        <v>13583.594999999999</v>
      </c>
      <c r="J2549" s="35">
        <f>10394.1+464.4+2725.095</f>
        <v>13583.594999999999</v>
      </c>
      <c r="K2549" s="35">
        <f>8821.05233+389.9967+2253.54614</f>
        <v>11464.595170000001</v>
      </c>
      <c r="L2549" s="35">
        <f t="shared" si="1200"/>
        <v>63.656830483064965</v>
      </c>
      <c r="M2549" s="35">
        <f t="shared" si="1201"/>
        <v>84.400301761058103</v>
      </c>
    </row>
    <row r="2550" spans="1:13" ht="25.5">
      <c r="A2550" s="59" t="s">
        <v>64</v>
      </c>
      <c r="B2550" s="28" t="s">
        <v>940</v>
      </c>
      <c r="C2550" s="28" t="s">
        <v>17</v>
      </c>
      <c r="D2550" s="28" t="s">
        <v>387</v>
      </c>
      <c r="E2550" s="28" t="s">
        <v>738</v>
      </c>
      <c r="F2550" s="28" t="s">
        <v>65</v>
      </c>
      <c r="G2550" s="35">
        <f>G2551</f>
        <v>22710.6</v>
      </c>
      <c r="H2550" s="35">
        <f t="shared" ref="H2550:K2550" si="1211">H2551</f>
        <v>22710.6</v>
      </c>
      <c r="I2550" s="35">
        <f t="shared" si="1211"/>
        <v>18782.95</v>
      </c>
      <c r="J2550" s="35">
        <f t="shared" si="1211"/>
        <v>18782.95</v>
      </c>
      <c r="K2550" s="35">
        <f t="shared" si="1211"/>
        <v>16539.791720000001</v>
      </c>
      <c r="L2550" s="35">
        <f t="shared" si="1200"/>
        <v>72.828510563349283</v>
      </c>
      <c r="M2550" s="35">
        <f t="shared" si="1201"/>
        <v>88.057476168546472</v>
      </c>
    </row>
    <row r="2551" spans="1:13" ht="25.5">
      <c r="A2551" s="59" t="s">
        <v>66</v>
      </c>
      <c r="B2551" s="28" t="s">
        <v>940</v>
      </c>
      <c r="C2551" s="28" t="s">
        <v>17</v>
      </c>
      <c r="D2551" s="28" t="s">
        <v>387</v>
      </c>
      <c r="E2551" s="28" t="s">
        <v>738</v>
      </c>
      <c r="F2551" s="28" t="s">
        <v>67</v>
      </c>
      <c r="G2551" s="35">
        <v>22710.6</v>
      </c>
      <c r="H2551" s="35">
        <v>22710.6</v>
      </c>
      <c r="I2551" s="35">
        <v>18782.95</v>
      </c>
      <c r="J2551" s="35">
        <v>18782.95</v>
      </c>
      <c r="K2551" s="35">
        <v>16539.791720000001</v>
      </c>
      <c r="L2551" s="35">
        <f t="shared" si="1200"/>
        <v>72.828510563349283</v>
      </c>
      <c r="M2551" s="35">
        <f t="shared" si="1201"/>
        <v>88.057476168546472</v>
      </c>
    </row>
    <row r="2552" spans="1:13">
      <c r="A2552" s="59" t="s">
        <v>72</v>
      </c>
      <c r="B2552" s="28" t="s">
        <v>940</v>
      </c>
      <c r="C2552" s="28" t="s">
        <v>17</v>
      </c>
      <c r="D2552" s="28" t="s">
        <v>387</v>
      </c>
      <c r="E2552" s="28" t="s">
        <v>738</v>
      </c>
      <c r="F2552" s="28" t="s">
        <v>73</v>
      </c>
      <c r="G2552" s="35">
        <f>G2553</f>
        <v>178</v>
      </c>
      <c r="H2552" s="35">
        <f t="shared" ref="H2552:K2552" si="1212">H2553</f>
        <v>178</v>
      </c>
      <c r="I2552" s="35">
        <f t="shared" si="1212"/>
        <v>133.5</v>
      </c>
      <c r="J2552" s="35">
        <f t="shared" si="1212"/>
        <v>133.5</v>
      </c>
      <c r="K2552" s="35">
        <f t="shared" si="1212"/>
        <v>18.41</v>
      </c>
      <c r="L2552" s="35">
        <f t="shared" si="1200"/>
        <v>10.342696629213483</v>
      </c>
      <c r="M2552" s="35">
        <f t="shared" si="1201"/>
        <v>13.790262172284645</v>
      </c>
    </row>
    <row r="2553" spans="1:13">
      <c r="A2553" s="59" t="s">
        <v>74</v>
      </c>
      <c r="B2553" s="28" t="s">
        <v>940</v>
      </c>
      <c r="C2553" s="28" t="s">
        <v>17</v>
      </c>
      <c r="D2553" s="28" t="s">
        <v>387</v>
      </c>
      <c r="E2553" s="28" t="s">
        <v>738</v>
      </c>
      <c r="F2553" s="28" t="s">
        <v>75</v>
      </c>
      <c r="G2553" s="35">
        <v>178</v>
      </c>
      <c r="H2553" s="35">
        <f>96+82</f>
        <v>178</v>
      </c>
      <c r="I2553" s="35">
        <f>56.17+77.33</f>
        <v>133.5</v>
      </c>
      <c r="J2553" s="35">
        <f>56.17+77.33</f>
        <v>133.5</v>
      </c>
      <c r="K2553" s="35">
        <v>18.41</v>
      </c>
      <c r="L2553" s="35">
        <f t="shared" si="1200"/>
        <v>10.342696629213483</v>
      </c>
      <c r="M2553" s="35">
        <f t="shared" si="1201"/>
        <v>13.790262172284645</v>
      </c>
    </row>
    <row r="2554" spans="1:13" ht="25.5">
      <c r="A2554" s="59" t="s">
        <v>76</v>
      </c>
      <c r="B2554" s="28" t="s">
        <v>940</v>
      </c>
      <c r="C2554" s="28" t="s">
        <v>17</v>
      </c>
      <c r="D2554" s="28" t="s">
        <v>387</v>
      </c>
      <c r="E2554" s="28" t="s">
        <v>739</v>
      </c>
      <c r="F2554" s="58" t="s">
        <v>0</v>
      </c>
      <c r="G2554" s="35">
        <f>G2555+G2557+G2559</f>
        <v>200012.59999999998</v>
      </c>
      <c r="H2554" s="35">
        <f t="shared" ref="H2554:K2554" si="1213">H2555+H2557+H2559</f>
        <v>198773.63986</v>
      </c>
      <c r="I2554" s="35">
        <f t="shared" si="1213"/>
        <v>135622.45705</v>
      </c>
      <c r="J2554" s="35">
        <f t="shared" si="1213"/>
        <v>135622.45705</v>
      </c>
      <c r="K2554" s="35">
        <f t="shared" si="1213"/>
        <v>128891.89915999999</v>
      </c>
      <c r="L2554" s="35">
        <f t="shared" si="1200"/>
        <v>64.843557350351361</v>
      </c>
      <c r="M2554" s="35">
        <f t="shared" si="1201"/>
        <v>95.037283620721709</v>
      </c>
    </row>
    <row r="2555" spans="1:13" ht="63.75">
      <c r="A2555" s="59" t="s">
        <v>60</v>
      </c>
      <c r="B2555" s="28" t="s">
        <v>940</v>
      </c>
      <c r="C2555" s="28" t="s">
        <v>17</v>
      </c>
      <c r="D2555" s="28" t="s">
        <v>387</v>
      </c>
      <c r="E2555" s="28" t="s">
        <v>739</v>
      </c>
      <c r="F2555" s="28" t="s">
        <v>61</v>
      </c>
      <c r="G2555" s="35">
        <f>G2556</f>
        <v>110191.1</v>
      </c>
      <c r="H2555" s="35">
        <f t="shared" ref="H2555:K2555" si="1214">H2556</f>
        <v>110191.07906</v>
      </c>
      <c r="I2555" s="35">
        <f t="shared" si="1214"/>
        <v>81831.399059999996</v>
      </c>
      <c r="J2555" s="35">
        <f t="shared" si="1214"/>
        <v>81831.399059999996</v>
      </c>
      <c r="K2555" s="35">
        <f t="shared" si="1214"/>
        <v>77857.717529999994</v>
      </c>
      <c r="L2555" s="35">
        <f t="shared" si="1200"/>
        <v>70.657006169805996</v>
      </c>
      <c r="M2555" s="35">
        <f t="shared" si="1201"/>
        <v>95.144062577878643</v>
      </c>
    </row>
    <row r="2556" spans="1:13">
      <c r="A2556" s="59" t="s">
        <v>78</v>
      </c>
      <c r="B2556" s="28" t="s">
        <v>940</v>
      </c>
      <c r="C2556" s="28" t="s">
        <v>17</v>
      </c>
      <c r="D2556" s="28" t="s">
        <v>387</v>
      </c>
      <c r="E2556" s="28" t="s">
        <v>739</v>
      </c>
      <c r="F2556" s="28" t="s">
        <v>79</v>
      </c>
      <c r="G2556" s="35">
        <v>110191.1</v>
      </c>
      <c r="H2556" s="35">
        <f>81430.03184+4299.3+24461.74722</f>
        <v>110191.07906</v>
      </c>
      <c r="I2556" s="35">
        <f>60794.53184+3752.42+17284.44722</f>
        <v>81831.399059999996</v>
      </c>
      <c r="J2556" s="35">
        <f>60794.53184+3752.42+17284.44722</f>
        <v>81831.399059999996</v>
      </c>
      <c r="K2556" s="35">
        <f>57372.47111+3729.24837+16755.99805</f>
        <v>77857.717529999994</v>
      </c>
      <c r="L2556" s="35">
        <f t="shared" si="1200"/>
        <v>70.657006169805996</v>
      </c>
      <c r="M2556" s="35">
        <f t="shared" si="1201"/>
        <v>95.144062577878643</v>
      </c>
    </row>
    <row r="2557" spans="1:13" ht="25.5">
      <c r="A2557" s="59" t="s">
        <v>64</v>
      </c>
      <c r="B2557" s="28" t="s">
        <v>940</v>
      </c>
      <c r="C2557" s="28" t="s">
        <v>17</v>
      </c>
      <c r="D2557" s="28" t="s">
        <v>387</v>
      </c>
      <c r="E2557" s="28" t="s">
        <v>739</v>
      </c>
      <c r="F2557" s="28" t="s">
        <v>65</v>
      </c>
      <c r="G2557" s="35">
        <f>G2558</f>
        <v>83089.7</v>
      </c>
      <c r="H2557" s="35">
        <f t="shared" ref="H2557:K2557" si="1215">H2558</f>
        <v>81850.760800000004</v>
      </c>
      <c r="I2557" s="35">
        <f t="shared" si="1215"/>
        <v>50095.123619999998</v>
      </c>
      <c r="J2557" s="35">
        <f t="shared" si="1215"/>
        <v>50095.123619999998</v>
      </c>
      <c r="K2557" s="35">
        <f t="shared" si="1215"/>
        <v>47665.088280000004</v>
      </c>
      <c r="L2557" s="35">
        <f t="shared" si="1200"/>
        <v>58.234142009343429</v>
      </c>
      <c r="M2557" s="35">
        <f t="shared" si="1201"/>
        <v>95.149157913186926</v>
      </c>
    </row>
    <row r="2558" spans="1:13" ht="25.5">
      <c r="A2558" s="59" t="s">
        <v>66</v>
      </c>
      <c r="B2558" s="28" t="s">
        <v>940</v>
      </c>
      <c r="C2558" s="28" t="s">
        <v>17</v>
      </c>
      <c r="D2558" s="28" t="s">
        <v>387</v>
      </c>
      <c r="E2558" s="28" t="s">
        <v>739</v>
      </c>
      <c r="F2558" s="28" t="s">
        <v>67</v>
      </c>
      <c r="G2558" s="35">
        <v>83089.7</v>
      </c>
      <c r="H2558" s="35">
        <v>81850.760800000004</v>
      </c>
      <c r="I2558" s="35">
        <v>50095.123619999998</v>
      </c>
      <c r="J2558" s="35">
        <v>50095.123619999998</v>
      </c>
      <c r="K2558" s="35">
        <v>47665.088280000004</v>
      </c>
      <c r="L2558" s="35">
        <f t="shared" si="1200"/>
        <v>58.234142009343429</v>
      </c>
      <c r="M2558" s="35">
        <f t="shared" si="1201"/>
        <v>95.149157913186926</v>
      </c>
    </row>
    <row r="2559" spans="1:13">
      <c r="A2559" s="59" t="s">
        <v>72</v>
      </c>
      <c r="B2559" s="28" t="s">
        <v>940</v>
      </c>
      <c r="C2559" s="28" t="s">
        <v>17</v>
      </c>
      <c r="D2559" s="28" t="s">
        <v>387</v>
      </c>
      <c r="E2559" s="28" t="s">
        <v>739</v>
      </c>
      <c r="F2559" s="28" t="s">
        <v>73</v>
      </c>
      <c r="G2559" s="35">
        <f>G2561</f>
        <v>6731.8</v>
      </c>
      <c r="H2559" s="35">
        <f>H2560+H2561</f>
        <v>6731.8</v>
      </c>
      <c r="I2559" s="35">
        <f t="shared" ref="I2559:K2559" si="1216">I2560+I2561</f>
        <v>3695.9343699999999</v>
      </c>
      <c r="J2559" s="35">
        <f t="shared" si="1216"/>
        <v>3695.9343699999999</v>
      </c>
      <c r="K2559" s="35">
        <f t="shared" si="1216"/>
        <v>3369.0933500000001</v>
      </c>
      <c r="L2559" s="35">
        <f t="shared" si="1200"/>
        <v>50.047436792536914</v>
      </c>
      <c r="M2559" s="35">
        <f t="shared" si="1201"/>
        <v>91.156741779481337</v>
      </c>
    </row>
    <row r="2560" spans="1:13">
      <c r="A2560" s="59" t="s">
        <v>84</v>
      </c>
      <c r="B2560" s="28" t="s">
        <v>940</v>
      </c>
      <c r="C2560" s="28" t="s">
        <v>17</v>
      </c>
      <c r="D2560" s="28" t="s">
        <v>387</v>
      </c>
      <c r="E2560" s="28" t="s">
        <v>739</v>
      </c>
      <c r="F2560" s="28">
        <v>830</v>
      </c>
      <c r="G2560" s="35"/>
      <c r="H2560" s="35">
        <v>30</v>
      </c>
      <c r="I2560" s="35">
        <v>30</v>
      </c>
      <c r="J2560" s="35">
        <v>30</v>
      </c>
      <c r="K2560" s="35">
        <v>30</v>
      </c>
      <c r="L2560" s="35">
        <f t="shared" si="1200"/>
        <v>100</v>
      </c>
      <c r="M2560" s="35">
        <f t="shared" si="1201"/>
        <v>100</v>
      </c>
    </row>
    <row r="2561" spans="1:13">
      <c r="A2561" s="59" t="s">
        <v>74</v>
      </c>
      <c r="B2561" s="28" t="s">
        <v>940</v>
      </c>
      <c r="C2561" s="28" t="s">
        <v>17</v>
      </c>
      <c r="D2561" s="28" t="s">
        <v>387</v>
      </c>
      <c r="E2561" s="28" t="s">
        <v>739</v>
      </c>
      <c r="F2561" s="28" t="s">
        <v>75</v>
      </c>
      <c r="G2561" s="35">
        <v>6731.8</v>
      </c>
      <c r="H2561" s="35">
        <f>5395.8+1306</f>
        <v>6701.8</v>
      </c>
      <c r="I2561" s="35">
        <f>3125.9+540.03437</f>
        <v>3665.9343699999999</v>
      </c>
      <c r="J2561" s="35">
        <f>3125.9+540.03437</f>
        <v>3665.9343699999999</v>
      </c>
      <c r="K2561" s="35">
        <f>2984.772+354.32135</f>
        <v>3339.0933500000001</v>
      </c>
      <c r="L2561" s="35">
        <f t="shared" si="1200"/>
        <v>49.823828672893846</v>
      </c>
      <c r="M2561" s="35">
        <f t="shared" si="1201"/>
        <v>91.08437339536988</v>
      </c>
    </row>
    <row r="2562" spans="1:13">
      <c r="A2562" s="62" t="s">
        <v>612</v>
      </c>
      <c r="B2562" s="28" t="s">
        <v>940</v>
      </c>
      <c r="C2562" s="28" t="s">
        <v>17</v>
      </c>
      <c r="D2562" s="28" t="s">
        <v>387</v>
      </c>
      <c r="E2562" s="29" t="s">
        <v>613</v>
      </c>
      <c r="F2562" s="28"/>
      <c r="G2562" s="35"/>
      <c r="H2562" s="35">
        <f>H2563</f>
        <v>11042.784019999999</v>
      </c>
      <c r="I2562" s="35">
        <f t="shared" ref="I2562:K2562" si="1217">I2563</f>
        <v>11042.784019999999</v>
      </c>
      <c r="J2562" s="35">
        <f t="shared" si="1217"/>
        <v>11042.784019999999</v>
      </c>
      <c r="K2562" s="35">
        <f t="shared" si="1217"/>
        <v>10771.70011</v>
      </c>
      <c r="L2562" s="35">
        <f t="shared" si="1200"/>
        <v>97.545148854591119</v>
      </c>
      <c r="M2562" s="35">
        <f t="shared" si="1201"/>
        <v>97.545148854591119</v>
      </c>
    </row>
    <row r="2563" spans="1:13">
      <c r="A2563" s="62" t="s">
        <v>612</v>
      </c>
      <c r="B2563" s="28" t="s">
        <v>940</v>
      </c>
      <c r="C2563" s="28" t="s">
        <v>17</v>
      </c>
      <c r="D2563" s="28" t="s">
        <v>387</v>
      </c>
      <c r="E2563" s="29" t="s">
        <v>614</v>
      </c>
      <c r="F2563" s="28"/>
      <c r="G2563" s="35"/>
      <c r="H2563" s="35">
        <f>H2564+H2566+H2568</f>
        <v>11042.784019999999</v>
      </c>
      <c r="I2563" s="35">
        <f t="shared" ref="I2563:K2563" si="1218">I2564+I2566+I2568</f>
        <v>11042.784019999999</v>
      </c>
      <c r="J2563" s="35">
        <f t="shared" si="1218"/>
        <v>11042.784019999999</v>
      </c>
      <c r="K2563" s="35">
        <f t="shared" si="1218"/>
        <v>10771.70011</v>
      </c>
      <c r="L2563" s="35">
        <f t="shared" si="1200"/>
        <v>97.545148854591119</v>
      </c>
      <c r="M2563" s="35">
        <f t="shared" si="1201"/>
        <v>97.545148854591119</v>
      </c>
    </row>
    <row r="2564" spans="1:13" ht="25.5">
      <c r="A2564" s="59" t="s">
        <v>64</v>
      </c>
      <c r="B2564" s="28" t="s">
        <v>940</v>
      </c>
      <c r="C2564" s="28" t="s">
        <v>17</v>
      </c>
      <c r="D2564" s="28" t="s">
        <v>387</v>
      </c>
      <c r="E2564" s="29" t="s">
        <v>614</v>
      </c>
      <c r="F2564" s="28">
        <v>200</v>
      </c>
      <c r="G2564" s="35"/>
      <c r="H2564" s="35">
        <f>H2565</f>
        <v>6006.509</v>
      </c>
      <c r="I2564" s="35">
        <f t="shared" ref="I2564:K2564" si="1219">I2565</f>
        <v>6006.509</v>
      </c>
      <c r="J2564" s="35">
        <f t="shared" si="1219"/>
        <v>6006.509</v>
      </c>
      <c r="K2564" s="35">
        <f t="shared" si="1219"/>
        <v>5735.4250899999997</v>
      </c>
      <c r="L2564" s="35">
        <f t="shared" si="1200"/>
        <v>95.486830869644905</v>
      </c>
      <c r="M2564" s="35">
        <f t="shared" si="1201"/>
        <v>95.486830869644905</v>
      </c>
    </row>
    <row r="2565" spans="1:13" ht="25.5">
      <c r="A2565" s="59" t="s">
        <v>66</v>
      </c>
      <c r="B2565" s="28" t="s">
        <v>940</v>
      </c>
      <c r="C2565" s="28" t="s">
        <v>17</v>
      </c>
      <c r="D2565" s="28" t="s">
        <v>387</v>
      </c>
      <c r="E2565" s="29" t="s">
        <v>614</v>
      </c>
      <c r="F2565" s="28">
        <v>240</v>
      </c>
      <c r="G2565" s="35"/>
      <c r="H2565" s="35">
        <f>5623.973+382.536</f>
        <v>6006.509</v>
      </c>
      <c r="I2565" s="35">
        <f>5623.973+382.536</f>
        <v>6006.509</v>
      </c>
      <c r="J2565" s="35">
        <f>5623.973+382.536</f>
        <v>6006.509</v>
      </c>
      <c r="K2565" s="35">
        <f>5352.88909+382.536</f>
        <v>5735.4250899999997</v>
      </c>
      <c r="L2565" s="35">
        <f t="shared" si="1200"/>
        <v>95.486830869644905</v>
      </c>
      <c r="M2565" s="35">
        <f t="shared" si="1201"/>
        <v>95.486830869644905</v>
      </c>
    </row>
    <row r="2566" spans="1:13">
      <c r="A2566" s="62" t="s">
        <v>26</v>
      </c>
      <c r="B2566" s="28" t="s">
        <v>940</v>
      </c>
      <c r="C2566" s="28" t="s">
        <v>17</v>
      </c>
      <c r="D2566" s="28" t="s">
        <v>387</v>
      </c>
      <c r="E2566" s="29" t="s">
        <v>614</v>
      </c>
      <c r="F2566" s="28">
        <v>500</v>
      </c>
      <c r="G2566" s="35"/>
      <c r="H2566" s="35">
        <f>H2567</f>
        <v>4876.8050199999998</v>
      </c>
      <c r="I2566" s="35">
        <f t="shared" ref="I2566:K2566" si="1220">I2567</f>
        <v>4876.8050199999998</v>
      </c>
      <c r="J2566" s="35">
        <f t="shared" si="1220"/>
        <v>4876.8050199999998</v>
      </c>
      <c r="K2566" s="35">
        <f t="shared" si="1220"/>
        <v>4876.8050199999998</v>
      </c>
      <c r="L2566" s="35">
        <f t="shared" si="1200"/>
        <v>100</v>
      </c>
      <c r="M2566" s="35">
        <f t="shared" si="1201"/>
        <v>100</v>
      </c>
    </row>
    <row r="2567" spans="1:13">
      <c r="A2567" s="62" t="s">
        <v>352</v>
      </c>
      <c r="B2567" s="28" t="s">
        <v>940</v>
      </c>
      <c r="C2567" s="28" t="s">
        <v>17</v>
      </c>
      <c r="D2567" s="28" t="s">
        <v>387</v>
      </c>
      <c r="E2567" s="29" t="s">
        <v>614</v>
      </c>
      <c r="F2567" s="28">
        <v>540</v>
      </c>
      <c r="G2567" s="35"/>
      <c r="H2567" s="35">
        <v>4876.8050199999998</v>
      </c>
      <c r="I2567" s="35">
        <v>4876.8050199999998</v>
      </c>
      <c r="J2567" s="35">
        <v>4876.8050199999998</v>
      </c>
      <c r="K2567" s="35">
        <v>4876.8050199999998</v>
      </c>
      <c r="L2567" s="35">
        <f t="shared" si="1200"/>
        <v>100</v>
      </c>
      <c r="M2567" s="35">
        <f t="shared" si="1201"/>
        <v>100</v>
      </c>
    </row>
    <row r="2568" spans="1:13" ht="25.5">
      <c r="A2568" s="59" t="s">
        <v>80</v>
      </c>
      <c r="B2568" s="28" t="s">
        <v>940</v>
      </c>
      <c r="C2568" s="28" t="s">
        <v>17</v>
      </c>
      <c r="D2568" s="28" t="s">
        <v>387</v>
      </c>
      <c r="E2568" s="29" t="s">
        <v>614</v>
      </c>
      <c r="F2568" s="28">
        <v>600</v>
      </c>
      <c r="G2568" s="35"/>
      <c r="H2568" s="35">
        <f>H2569</f>
        <v>159.47</v>
      </c>
      <c r="I2568" s="35">
        <f t="shared" ref="I2568:K2568" si="1221">I2569</f>
        <v>159.47</v>
      </c>
      <c r="J2568" s="35">
        <f t="shared" si="1221"/>
        <v>159.47</v>
      </c>
      <c r="K2568" s="35">
        <f t="shared" si="1221"/>
        <v>159.47</v>
      </c>
      <c r="L2568" s="35">
        <f t="shared" si="1200"/>
        <v>100</v>
      </c>
      <c r="M2568" s="35">
        <f t="shared" si="1201"/>
        <v>100</v>
      </c>
    </row>
    <row r="2569" spans="1:13">
      <c r="A2569" s="59" t="s">
        <v>82</v>
      </c>
      <c r="B2569" s="28" t="s">
        <v>940</v>
      </c>
      <c r="C2569" s="28" t="s">
        <v>17</v>
      </c>
      <c r="D2569" s="28" t="s">
        <v>387</v>
      </c>
      <c r="E2569" s="29" t="s">
        <v>614</v>
      </c>
      <c r="F2569" s="28">
        <v>620</v>
      </c>
      <c r="G2569" s="35"/>
      <c r="H2569" s="35">
        <v>159.47</v>
      </c>
      <c r="I2569" s="35">
        <v>159.47</v>
      </c>
      <c r="J2569" s="35">
        <v>159.47</v>
      </c>
      <c r="K2569" s="35">
        <v>159.47</v>
      </c>
      <c r="L2569" s="35">
        <f t="shared" si="1200"/>
        <v>100</v>
      </c>
      <c r="M2569" s="35">
        <f t="shared" si="1201"/>
        <v>100</v>
      </c>
    </row>
    <row r="2570" spans="1:13" ht="14.25" customHeight="1">
      <c r="A2570" s="60" t="s">
        <v>0</v>
      </c>
      <c r="B2570" s="58" t="s">
        <v>0</v>
      </c>
      <c r="C2570" s="58" t="s">
        <v>0</v>
      </c>
      <c r="D2570" s="58" t="s">
        <v>0</v>
      </c>
      <c r="E2570" s="58" t="s">
        <v>0</v>
      </c>
      <c r="F2570" s="58" t="s">
        <v>0</v>
      </c>
      <c r="G2570" s="61" t="s">
        <v>0</v>
      </c>
      <c r="H2570" s="61" t="s">
        <v>0</v>
      </c>
      <c r="I2570" s="61" t="s">
        <v>0</v>
      </c>
      <c r="J2570" s="61" t="s">
        <v>0</v>
      </c>
      <c r="K2570" s="61" t="s">
        <v>0</v>
      </c>
      <c r="L2570" s="35"/>
      <c r="M2570" s="35"/>
    </row>
    <row r="2571" spans="1:13">
      <c r="A2571" s="59" t="s">
        <v>30</v>
      </c>
      <c r="B2571" s="28" t="s">
        <v>940</v>
      </c>
      <c r="C2571" s="28" t="s">
        <v>19</v>
      </c>
      <c r="D2571" s="58" t="s">
        <v>0</v>
      </c>
      <c r="E2571" s="58" t="s">
        <v>0</v>
      </c>
      <c r="F2571" s="58" t="s">
        <v>0</v>
      </c>
      <c r="G2571" s="35">
        <v>1250</v>
      </c>
      <c r="H2571" s="35">
        <f t="shared" ref="H2571:H2579" si="1222">H2572</f>
        <v>4003.1129999999998</v>
      </c>
      <c r="I2571" s="35">
        <f t="shared" ref="I2571:K2579" si="1223">I2572</f>
        <v>1250</v>
      </c>
      <c r="J2571" s="35">
        <f t="shared" si="1223"/>
        <v>1250</v>
      </c>
      <c r="K2571" s="35">
        <f t="shared" si="1223"/>
        <v>1250</v>
      </c>
      <c r="L2571" s="35">
        <f t="shared" si="1200"/>
        <v>31.225698600064501</v>
      </c>
      <c r="M2571" s="35">
        <f t="shared" si="1201"/>
        <v>100</v>
      </c>
    </row>
    <row r="2572" spans="1:13">
      <c r="A2572" s="59" t="s">
        <v>50</v>
      </c>
      <c r="B2572" s="28" t="s">
        <v>940</v>
      </c>
      <c r="C2572" s="28" t="s">
        <v>19</v>
      </c>
      <c r="D2572" s="28" t="s">
        <v>51</v>
      </c>
      <c r="E2572" s="58" t="s">
        <v>0</v>
      </c>
      <c r="F2572" s="58" t="s">
        <v>0</v>
      </c>
      <c r="G2572" s="35">
        <v>1250</v>
      </c>
      <c r="H2572" s="35">
        <f t="shared" si="1222"/>
        <v>4003.1129999999998</v>
      </c>
      <c r="I2572" s="35">
        <f t="shared" si="1223"/>
        <v>1250</v>
      </c>
      <c r="J2572" s="35">
        <f t="shared" si="1223"/>
        <v>1250</v>
      </c>
      <c r="K2572" s="35">
        <f t="shared" si="1223"/>
        <v>1250</v>
      </c>
      <c r="L2572" s="35">
        <f t="shared" si="1200"/>
        <v>31.225698600064501</v>
      </c>
      <c r="M2572" s="35">
        <f t="shared" si="1201"/>
        <v>100</v>
      </c>
    </row>
    <row r="2573" spans="1:13" ht="51">
      <c r="A2573" s="59" t="s">
        <v>713</v>
      </c>
      <c r="B2573" s="28" t="s">
        <v>940</v>
      </c>
      <c r="C2573" s="28" t="s">
        <v>19</v>
      </c>
      <c r="D2573" s="28" t="s">
        <v>51</v>
      </c>
      <c r="E2573" s="28" t="s">
        <v>714</v>
      </c>
      <c r="F2573" s="58" t="s">
        <v>0</v>
      </c>
      <c r="G2573" s="35">
        <v>1250</v>
      </c>
      <c r="H2573" s="35">
        <f t="shared" si="1222"/>
        <v>4003.1129999999998</v>
      </c>
      <c r="I2573" s="35">
        <f t="shared" si="1223"/>
        <v>1250</v>
      </c>
      <c r="J2573" s="35">
        <f t="shared" si="1223"/>
        <v>1250</v>
      </c>
      <c r="K2573" s="35">
        <f t="shared" si="1223"/>
        <v>1250</v>
      </c>
      <c r="L2573" s="35">
        <f t="shared" si="1200"/>
        <v>31.225698600064501</v>
      </c>
      <c r="M2573" s="35">
        <f t="shared" si="1201"/>
        <v>100</v>
      </c>
    </row>
    <row r="2574" spans="1:13" ht="25.5">
      <c r="A2574" s="59" t="s">
        <v>725</v>
      </c>
      <c r="B2574" s="28" t="s">
        <v>940</v>
      </c>
      <c r="C2574" s="28" t="s">
        <v>19</v>
      </c>
      <c r="D2574" s="28" t="s">
        <v>51</v>
      </c>
      <c r="E2574" s="28" t="s">
        <v>726</v>
      </c>
      <c r="F2574" s="58" t="s">
        <v>0</v>
      </c>
      <c r="G2574" s="35">
        <v>1250</v>
      </c>
      <c r="H2574" s="35">
        <f>H2578+H2575</f>
        <v>4003.1129999999998</v>
      </c>
      <c r="I2574" s="35">
        <f t="shared" ref="I2574:K2574" si="1224">I2578+I2575</f>
        <v>1250</v>
      </c>
      <c r="J2574" s="35">
        <f t="shared" si="1224"/>
        <v>1250</v>
      </c>
      <c r="K2574" s="35">
        <f t="shared" si="1224"/>
        <v>1250</v>
      </c>
      <c r="L2574" s="35">
        <f t="shared" si="1200"/>
        <v>31.225698600064501</v>
      </c>
      <c r="M2574" s="35">
        <f t="shared" si="1201"/>
        <v>100</v>
      </c>
    </row>
    <row r="2575" spans="1:13" s="92" customFormat="1" ht="25.5">
      <c r="A2575" s="62" t="s">
        <v>1277</v>
      </c>
      <c r="B2575" s="28" t="s">
        <v>940</v>
      </c>
      <c r="C2575" s="28" t="s">
        <v>19</v>
      </c>
      <c r="D2575" s="28" t="s">
        <v>51</v>
      </c>
      <c r="E2575" s="29" t="s">
        <v>1276</v>
      </c>
      <c r="F2575" s="58"/>
      <c r="G2575" s="35"/>
      <c r="H2575" s="35">
        <f>H2576</f>
        <v>2753.1129999999998</v>
      </c>
      <c r="I2575" s="35">
        <f t="shared" ref="I2575:K2576" si="1225">I2576</f>
        <v>0</v>
      </c>
      <c r="J2575" s="35">
        <f t="shared" si="1225"/>
        <v>0</v>
      </c>
      <c r="K2575" s="35">
        <f t="shared" si="1225"/>
        <v>0</v>
      </c>
      <c r="L2575" s="35">
        <f t="shared" si="1200"/>
        <v>0</v>
      </c>
      <c r="M2575" s="35">
        <v>0</v>
      </c>
    </row>
    <row r="2576" spans="1:13" s="92" customFormat="1" ht="25.5">
      <c r="A2576" s="59" t="s">
        <v>80</v>
      </c>
      <c r="B2576" s="28" t="s">
        <v>940</v>
      </c>
      <c r="C2576" s="28" t="s">
        <v>19</v>
      </c>
      <c r="D2576" s="28" t="s">
        <v>51</v>
      </c>
      <c r="E2576" s="29" t="s">
        <v>1276</v>
      </c>
      <c r="F2576" s="28">
        <v>600</v>
      </c>
      <c r="G2576" s="35"/>
      <c r="H2576" s="35">
        <f>H2577</f>
        <v>2753.1129999999998</v>
      </c>
      <c r="I2576" s="35">
        <f t="shared" si="1225"/>
        <v>0</v>
      </c>
      <c r="J2576" s="35">
        <f t="shared" si="1225"/>
        <v>0</v>
      </c>
      <c r="K2576" s="35">
        <f t="shared" si="1225"/>
        <v>0</v>
      </c>
      <c r="L2576" s="35">
        <f t="shared" si="1200"/>
        <v>0</v>
      </c>
      <c r="M2576" s="35">
        <v>0</v>
      </c>
    </row>
    <row r="2577" spans="1:13" s="92" customFormat="1">
      <c r="A2577" s="59" t="s">
        <v>82</v>
      </c>
      <c r="B2577" s="28" t="s">
        <v>940</v>
      </c>
      <c r="C2577" s="28" t="s">
        <v>19</v>
      </c>
      <c r="D2577" s="28" t="s">
        <v>51</v>
      </c>
      <c r="E2577" s="29" t="s">
        <v>1276</v>
      </c>
      <c r="F2577" s="28">
        <v>620</v>
      </c>
      <c r="G2577" s="35"/>
      <c r="H2577" s="35">
        <v>2753.1129999999998</v>
      </c>
      <c r="I2577" s="35">
        <v>0</v>
      </c>
      <c r="J2577" s="35">
        <v>0</v>
      </c>
      <c r="K2577" s="35">
        <v>0</v>
      </c>
      <c r="L2577" s="35">
        <f t="shared" si="1200"/>
        <v>0</v>
      </c>
      <c r="M2577" s="35">
        <v>0</v>
      </c>
    </row>
    <row r="2578" spans="1:13" ht="38.25">
      <c r="A2578" s="59" t="s">
        <v>730</v>
      </c>
      <c r="B2578" s="28" t="s">
        <v>940</v>
      </c>
      <c r="C2578" s="28" t="s">
        <v>19</v>
      </c>
      <c r="D2578" s="28" t="s">
        <v>51</v>
      </c>
      <c r="E2578" s="28" t="s">
        <v>731</v>
      </c>
      <c r="F2578" s="58" t="s">
        <v>0</v>
      </c>
      <c r="G2578" s="35">
        <v>1250</v>
      </c>
      <c r="H2578" s="35">
        <f t="shared" si="1222"/>
        <v>1250</v>
      </c>
      <c r="I2578" s="35">
        <f t="shared" si="1223"/>
        <v>1250</v>
      </c>
      <c r="J2578" s="35">
        <f t="shared" si="1223"/>
        <v>1250</v>
      </c>
      <c r="K2578" s="35">
        <f t="shared" si="1223"/>
        <v>1250</v>
      </c>
      <c r="L2578" s="35">
        <f t="shared" si="1200"/>
        <v>100</v>
      </c>
      <c r="M2578" s="35">
        <f t="shared" si="1201"/>
        <v>100</v>
      </c>
    </row>
    <row r="2579" spans="1:13" ht="25.5">
      <c r="A2579" s="59" t="s">
        <v>80</v>
      </c>
      <c r="B2579" s="28" t="s">
        <v>940</v>
      </c>
      <c r="C2579" s="28" t="s">
        <v>19</v>
      </c>
      <c r="D2579" s="28" t="s">
        <v>51</v>
      </c>
      <c r="E2579" s="28" t="s">
        <v>731</v>
      </c>
      <c r="F2579" s="28" t="s">
        <v>81</v>
      </c>
      <c r="G2579" s="35">
        <v>1250</v>
      </c>
      <c r="H2579" s="35">
        <f t="shared" si="1222"/>
        <v>1250</v>
      </c>
      <c r="I2579" s="35">
        <f t="shared" si="1223"/>
        <v>1250</v>
      </c>
      <c r="J2579" s="35">
        <f t="shared" si="1223"/>
        <v>1250</v>
      </c>
      <c r="K2579" s="35">
        <f t="shared" si="1223"/>
        <v>1250</v>
      </c>
      <c r="L2579" s="35">
        <f t="shared" si="1200"/>
        <v>100</v>
      </c>
      <c r="M2579" s="35">
        <f t="shared" si="1201"/>
        <v>100</v>
      </c>
    </row>
    <row r="2580" spans="1:13">
      <c r="A2580" s="59" t="s">
        <v>82</v>
      </c>
      <c r="B2580" s="28" t="s">
        <v>940</v>
      </c>
      <c r="C2580" s="28" t="s">
        <v>19</v>
      </c>
      <c r="D2580" s="28" t="s">
        <v>51</v>
      </c>
      <c r="E2580" s="28" t="s">
        <v>731</v>
      </c>
      <c r="F2580" s="28" t="s">
        <v>83</v>
      </c>
      <c r="G2580" s="35">
        <v>1250</v>
      </c>
      <c r="H2580" s="35">
        <v>1250</v>
      </c>
      <c r="I2580" s="35">
        <v>1250</v>
      </c>
      <c r="J2580" s="35">
        <v>1250</v>
      </c>
      <c r="K2580" s="35">
        <v>1250</v>
      </c>
      <c r="L2580" s="35">
        <f t="shared" si="1200"/>
        <v>100</v>
      </c>
      <c r="M2580" s="35">
        <f t="shared" si="1201"/>
        <v>100</v>
      </c>
    </row>
    <row r="2581" spans="1:13" ht="9" customHeight="1">
      <c r="A2581" s="60" t="s">
        <v>0</v>
      </c>
      <c r="B2581" s="58" t="s">
        <v>0</v>
      </c>
      <c r="C2581" s="58" t="s">
        <v>0</v>
      </c>
      <c r="D2581" s="58" t="s">
        <v>0</v>
      </c>
      <c r="E2581" s="58" t="s">
        <v>0</v>
      </c>
      <c r="F2581" s="58" t="s">
        <v>0</v>
      </c>
      <c r="G2581" s="61" t="s">
        <v>0</v>
      </c>
      <c r="H2581" s="61" t="s">
        <v>0</v>
      </c>
      <c r="I2581" s="61" t="s">
        <v>0</v>
      </c>
      <c r="J2581" s="61" t="s">
        <v>0</v>
      </c>
      <c r="K2581" s="61" t="s">
        <v>0</v>
      </c>
      <c r="L2581" s="35"/>
      <c r="M2581" s="35"/>
    </row>
    <row r="2582" spans="1:13">
      <c r="A2582" s="59" t="s">
        <v>109</v>
      </c>
      <c r="B2582" s="28" t="s">
        <v>940</v>
      </c>
      <c r="C2582" s="28" t="s">
        <v>110</v>
      </c>
      <c r="D2582" s="58" t="s">
        <v>0</v>
      </c>
      <c r="E2582" s="58" t="s">
        <v>0</v>
      </c>
      <c r="F2582" s="58" t="s">
        <v>0</v>
      </c>
      <c r="G2582" s="35">
        <f>G2583</f>
        <v>101340.2</v>
      </c>
      <c r="H2582" s="35">
        <f t="shared" ref="H2582:K2582" si="1226">H2583</f>
        <v>111845.22306999999</v>
      </c>
      <c r="I2582" s="35">
        <f t="shared" si="1226"/>
        <v>98573.723069999993</v>
      </c>
      <c r="J2582" s="35">
        <f t="shared" si="1226"/>
        <v>98573.723069999993</v>
      </c>
      <c r="K2582" s="35">
        <f t="shared" si="1226"/>
        <v>90906.741070000004</v>
      </c>
      <c r="L2582" s="35">
        <f t="shared" si="1200"/>
        <v>81.279055622343989</v>
      </c>
      <c r="M2582" s="35">
        <f t="shared" si="1201"/>
        <v>92.222083369464045</v>
      </c>
    </row>
    <row r="2583" spans="1:13">
      <c r="A2583" s="59" t="s">
        <v>415</v>
      </c>
      <c r="B2583" s="28" t="s">
        <v>940</v>
      </c>
      <c r="C2583" s="28" t="s">
        <v>110</v>
      </c>
      <c r="D2583" s="28" t="s">
        <v>110</v>
      </c>
      <c r="E2583" s="58" t="s">
        <v>0</v>
      </c>
      <c r="F2583" s="58" t="s">
        <v>0</v>
      </c>
      <c r="G2583" s="35">
        <f>G2584+G2591</f>
        <v>101340.2</v>
      </c>
      <c r="H2583" s="35">
        <f>H2584+H2591+H2614</f>
        <v>111845.22306999999</v>
      </c>
      <c r="I2583" s="35">
        <f t="shared" ref="I2583:K2583" si="1227">I2584+I2591+I2614</f>
        <v>98573.723069999993</v>
      </c>
      <c r="J2583" s="35">
        <f t="shared" si="1227"/>
        <v>98573.723069999993</v>
      </c>
      <c r="K2583" s="35">
        <f t="shared" si="1227"/>
        <v>90906.741070000004</v>
      </c>
      <c r="L2583" s="35">
        <f t="shared" si="1200"/>
        <v>81.279055622343989</v>
      </c>
      <c r="M2583" s="35">
        <f t="shared" si="1201"/>
        <v>92.222083369464045</v>
      </c>
    </row>
    <row r="2584" spans="1:13" ht="76.5">
      <c r="A2584" s="59" t="s">
        <v>86</v>
      </c>
      <c r="B2584" s="28" t="s">
        <v>940</v>
      </c>
      <c r="C2584" s="28" t="s">
        <v>110</v>
      </c>
      <c r="D2584" s="28" t="s">
        <v>110</v>
      </c>
      <c r="E2584" s="28" t="s">
        <v>87</v>
      </c>
      <c r="F2584" s="58" t="s">
        <v>0</v>
      </c>
      <c r="G2584" s="35">
        <f>G2585</f>
        <v>162</v>
      </c>
      <c r="H2584" s="35">
        <f t="shared" ref="H2584:K2585" si="1228">H2585</f>
        <v>162</v>
      </c>
      <c r="I2584" s="35">
        <f t="shared" si="1228"/>
        <v>112</v>
      </c>
      <c r="J2584" s="35">
        <f t="shared" si="1228"/>
        <v>112</v>
      </c>
      <c r="K2584" s="35">
        <f t="shared" si="1228"/>
        <v>112</v>
      </c>
      <c r="L2584" s="35">
        <f t="shared" si="1200"/>
        <v>69.135802469135797</v>
      </c>
      <c r="M2584" s="35">
        <f t="shared" si="1201"/>
        <v>100</v>
      </c>
    </row>
    <row r="2585" spans="1:13" ht="51">
      <c r="A2585" s="59" t="s">
        <v>443</v>
      </c>
      <c r="B2585" s="28" t="s">
        <v>940</v>
      </c>
      <c r="C2585" s="28" t="s">
        <v>110</v>
      </c>
      <c r="D2585" s="28" t="s">
        <v>110</v>
      </c>
      <c r="E2585" s="28" t="s">
        <v>444</v>
      </c>
      <c r="F2585" s="58" t="s">
        <v>0</v>
      </c>
      <c r="G2585" s="35">
        <f>G2586</f>
        <v>162</v>
      </c>
      <c r="H2585" s="35">
        <f t="shared" si="1228"/>
        <v>162</v>
      </c>
      <c r="I2585" s="35">
        <f t="shared" si="1228"/>
        <v>112</v>
      </c>
      <c r="J2585" s="35">
        <f t="shared" si="1228"/>
        <v>112</v>
      </c>
      <c r="K2585" s="35">
        <f t="shared" si="1228"/>
        <v>112</v>
      </c>
      <c r="L2585" s="35">
        <f t="shared" si="1200"/>
        <v>69.135802469135797</v>
      </c>
      <c r="M2585" s="35">
        <f t="shared" si="1201"/>
        <v>100</v>
      </c>
    </row>
    <row r="2586" spans="1:13" ht="25.5">
      <c r="A2586" s="59" t="s">
        <v>983</v>
      </c>
      <c r="B2586" s="28" t="s">
        <v>940</v>
      </c>
      <c r="C2586" s="28" t="s">
        <v>110</v>
      </c>
      <c r="D2586" s="28" t="s">
        <v>110</v>
      </c>
      <c r="E2586" s="28" t="s">
        <v>984</v>
      </c>
      <c r="F2586" s="58" t="s">
        <v>0</v>
      </c>
      <c r="G2586" s="35">
        <f>G2587+G2589</f>
        <v>162</v>
      </c>
      <c r="H2586" s="35">
        <f t="shared" ref="H2586:K2586" si="1229">H2587+H2589</f>
        <v>162</v>
      </c>
      <c r="I2586" s="35">
        <f t="shared" si="1229"/>
        <v>112</v>
      </c>
      <c r="J2586" s="35">
        <f t="shared" si="1229"/>
        <v>112</v>
      </c>
      <c r="K2586" s="35">
        <f t="shared" si="1229"/>
        <v>112</v>
      </c>
      <c r="L2586" s="35">
        <f t="shared" si="1200"/>
        <v>69.135802469135797</v>
      </c>
      <c r="M2586" s="35">
        <f t="shared" si="1201"/>
        <v>100</v>
      </c>
    </row>
    <row r="2587" spans="1:13">
      <c r="A2587" s="59" t="s">
        <v>68</v>
      </c>
      <c r="B2587" s="28" t="s">
        <v>940</v>
      </c>
      <c r="C2587" s="28" t="s">
        <v>110</v>
      </c>
      <c r="D2587" s="28" t="s">
        <v>110</v>
      </c>
      <c r="E2587" s="28" t="s">
        <v>984</v>
      </c>
      <c r="F2587" s="28" t="s">
        <v>69</v>
      </c>
      <c r="G2587" s="35">
        <f>G2588</f>
        <v>50</v>
      </c>
      <c r="H2587" s="35">
        <f t="shared" ref="H2587:K2587" si="1230">H2588</f>
        <v>50</v>
      </c>
      <c r="I2587" s="35">
        <f t="shared" si="1230"/>
        <v>0</v>
      </c>
      <c r="J2587" s="35">
        <f t="shared" si="1230"/>
        <v>0</v>
      </c>
      <c r="K2587" s="35">
        <f t="shared" si="1230"/>
        <v>0</v>
      </c>
      <c r="L2587" s="35">
        <f t="shared" si="1200"/>
        <v>0</v>
      </c>
      <c r="M2587" s="35">
        <v>0</v>
      </c>
    </row>
    <row r="2588" spans="1:13">
      <c r="A2588" s="59" t="s">
        <v>373</v>
      </c>
      <c r="B2588" s="28" t="s">
        <v>940</v>
      </c>
      <c r="C2588" s="28" t="s">
        <v>110</v>
      </c>
      <c r="D2588" s="28" t="s">
        <v>110</v>
      </c>
      <c r="E2588" s="28" t="s">
        <v>984</v>
      </c>
      <c r="F2588" s="28" t="s">
        <v>374</v>
      </c>
      <c r="G2588" s="35">
        <v>50</v>
      </c>
      <c r="H2588" s="35">
        <v>50</v>
      </c>
      <c r="I2588" s="35">
        <v>0</v>
      </c>
      <c r="J2588" s="35">
        <v>0</v>
      </c>
      <c r="K2588" s="35">
        <v>0</v>
      </c>
      <c r="L2588" s="35">
        <f t="shared" si="1200"/>
        <v>0</v>
      </c>
      <c r="M2588" s="35">
        <v>0</v>
      </c>
    </row>
    <row r="2589" spans="1:13" ht="25.5">
      <c r="A2589" s="59" t="s">
        <v>80</v>
      </c>
      <c r="B2589" s="28" t="s">
        <v>940</v>
      </c>
      <c r="C2589" s="28" t="s">
        <v>110</v>
      </c>
      <c r="D2589" s="28" t="s">
        <v>110</v>
      </c>
      <c r="E2589" s="28" t="s">
        <v>984</v>
      </c>
      <c r="F2589" s="28" t="s">
        <v>81</v>
      </c>
      <c r="G2589" s="35">
        <f>G2590</f>
        <v>112</v>
      </c>
      <c r="H2589" s="35">
        <f t="shared" ref="H2589:K2589" si="1231">H2590</f>
        <v>112</v>
      </c>
      <c r="I2589" s="35">
        <f t="shared" si="1231"/>
        <v>112</v>
      </c>
      <c r="J2589" s="35">
        <f t="shared" si="1231"/>
        <v>112</v>
      </c>
      <c r="K2589" s="35">
        <f t="shared" si="1231"/>
        <v>112</v>
      </c>
      <c r="L2589" s="35">
        <f t="shared" si="1200"/>
        <v>100</v>
      </c>
      <c r="M2589" s="35">
        <f t="shared" si="1201"/>
        <v>100</v>
      </c>
    </row>
    <row r="2590" spans="1:13">
      <c r="A2590" s="59" t="s">
        <v>82</v>
      </c>
      <c r="B2590" s="28" t="s">
        <v>940</v>
      </c>
      <c r="C2590" s="28" t="s">
        <v>110</v>
      </c>
      <c r="D2590" s="28" t="s">
        <v>110</v>
      </c>
      <c r="E2590" s="28" t="s">
        <v>984</v>
      </c>
      <c r="F2590" s="28" t="s">
        <v>83</v>
      </c>
      <c r="G2590" s="35">
        <v>112</v>
      </c>
      <c r="H2590" s="35">
        <v>112</v>
      </c>
      <c r="I2590" s="35">
        <v>112</v>
      </c>
      <c r="J2590" s="35">
        <v>112</v>
      </c>
      <c r="K2590" s="35">
        <v>112</v>
      </c>
      <c r="L2590" s="35">
        <f t="shared" si="1200"/>
        <v>100</v>
      </c>
      <c r="M2590" s="35">
        <f t="shared" si="1201"/>
        <v>100</v>
      </c>
    </row>
    <row r="2591" spans="1:13" ht="63.75">
      <c r="A2591" s="59" t="s">
        <v>156</v>
      </c>
      <c r="B2591" s="28" t="s">
        <v>940</v>
      </c>
      <c r="C2591" s="28" t="s">
        <v>110</v>
      </c>
      <c r="D2591" s="28" t="s">
        <v>110</v>
      </c>
      <c r="E2591" s="28" t="s">
        <v>157</v>
      </c>
      <c r="F2591" s="58" t="s">
        <v>0</v>
      </c>
      <c r="G2591" s="35">
        <f>G2592+G2604</f>
        <v>101178.2</v>
      </c>
      <c r="H2591" s="35">
        <f t="shared" ref="H2591:K2591" si="1232">H2592+H2604</f>
        <v>101178.2</v>
      </c>
      <c r="I2591" s="35">
        <f t="shared" si="1232"/>
        <v>87956.7</v>
      </c>
      <c r="J2591" s="35">
        <f t="shared" si="1232"/>
        <v>87956.7</v>
      </c>
      <c r="K2591" s="35">
        <f t="shared" si="1232"/>
        <v>86956.013000000006</v>
      </c>
      <c r="L2591" s="35">
        <f t="shared" si="1200"/>
        <v>85.943427536761888</v>
      </c>
      <c r="M2591" s="35">
        <f t="shared" si="1201"/>
        <v>98.862295879677163</v>
      </c>
    </row>
    <row r="2592" spans="1:13" ht="25.5">
      <c r="A2592" s="59" t="s">
        <v>985</v>
      </c>
      <c r="B2592" s="28" t="s">
        <v>940</v>
      </c>
      <c r="C2592" s="28" t="s">
        <v>110</v>
      </c>
      <c r="D2592" s="28" t="s">
        <v>110</v>
      </c>
      <c r="E2592" s="28" t="s">
        <v>986</v>
      </c>
      <c r="F2592" s="58" t="s">
        <v>0</v>
      </c>
      <c r="G2592" s="35">
        <f>G2593+G2596+G2601</f>
        <v>55242.7</v>
      </c>
      <c r="H2592" s="35">
        <f t="shared" ref="H2592:K2592" si="1233">H2593+H2596+H2601</f>
        <v>55242.7</v>
      </c>
      <c r="I2592" s="35">
        <f t="shared" si="1233"/>
        <v>46321.2</v>
      </c>
      <c r="J2592" s="35">
        <f t="shared" si="1233"/>
        <v>46321.2</v>
      </c>
      <c r="K2592" s="35">
        <f t="shared" si="1233"/>
        <v>45320.512999999999</v>
      </c>
      <c r="L2592" s="35">
        <f t="shared" si="1200"/>
        <v>82.038917359216697</v>
      </c>
      <c r="M2592" s="35">
        <f t="shared" si="1201"/>
        <v>97.839678160324013</v>
      </c>
    </row>
    <row r="2593" spans="1:13" ht="25.5">
      <c r="A2593" s="59" t="s">
        <v>76</v>
      </c>
      <c r="B2593" s="28" t="s">
        <v>940</v>
      </c>
      <c r="C2593" s="28" t="s">
        <v>110</v>
      </c>
      <c r="D2593" s="28" t="s">
        <v>110</v>
      </c>
      <c r="E2593" s="28" t="s">
        <v>987</v>
      </c>
      <c r="F2593" s="58" t="s">
        <v>0</v>
      </c>
      <c r="G2593" s="35">
        <f>G2594</f>
        <v>23877.7</v>
      </c>
      <c r="H2593" s="35">
        <f t="shared" ref="H2593:K2594" si="1234">H2594</f>
        <v>25037.7</v>
      </c>
      <c r="I2593" s="35">
        <f t="shared" si="1234"/>
        <v>19263</v>
      </c>
      <c r="J2593" s="35">
        <f t="shared" si="1234"/>
        <v>19263</v>
      </c>
      <c r="K2593" s="35">
        <f t="shared" si="1234"/>
        <v>19263</v>
      </c>
      <c r="L2593" s="35">
        <f t="shared" si="1200"/>
        <v>76.935980541343653</v>
      </c>
      <c r="M2593" s="35">
        <f t="shared" si="1201"/>
        <v>100</v>
      </c>
    </row>
    <row r="2594" spans="1:13" ht="25.5">
      <c r="A2594" s="59" t="s">
        <v>80</v>
      </c>
      <c r="B2594" s="28" t="s">
        <v>940</v>
      </c>
      <c r="C2594" s="28" t="s">
        <v>110</v>
      </c>
      <c r="D2594" s="28" t="s">
        <v>110</v>
      </c>
      <c r="E2594" s="28" t="s">
        <v>987</v>
      </c>
      <c r="F2594" s="28" t="s">
        <v>81</v>
      </c>
      <c r="G2594" s="35">
        <f>G2595</f>
        <v>23877.7</v>
      </c>
      <c r="H2594" s="35">
        <f t="shared" si="1234"/>
        <v>25037.7</v>
      </c>
      <c r="I2594" s="35">
        <f t="shared" si="1234"/>
        <v>19263</v>
      </c>
      <c r="J2594" s="35">
        <f t="shared" si="1234"/>
        <v>19263</v>
      </c>
      <c r="K2594" s="35">
        <f t="shared" si="1234"/>
        <v>19263</v>
      </c>
      <c r="L2594" s="35">
        <f t="shared" si="1200"/>
        <v>76.935980541343653</v>
      </c>
      <c r="M2594" s="35">
        <f t="shared" si="1201"/>
        <v>100</v>
      </c>
    </row>
    <row r="2595" spans="1:13">
      <c r="A2595" s="59" t="s">
        <v>82</v>
      </c>
      <c r="B2595" s="28" t="s">
        <v>940</v>
      </c>
      <c r="C2595" s="28" t="s">
        <v>110</v>
      </c>
      <c r="D2595" s="28" t="s">
        <v>110</v>
      </c>
      <c r="E2595" s="28" t="s">
        <v>987</v>
      </c>
      <c r="F2595" s="28" t="s">
        <v>83</v>
      </c>
      <c r="G2595" s="35">
        <v>23877.7</v>
      </c>
      <c r="H2595" s="35">
        <v>25037.7</v>
      </c>
      <c r="I2595" s="35">
        <v>19263</v>
      </c>
      <c r="J2595" s="35">
        <v>19263</v>
      </c>
      <c r="K2595" s="35">
        <v>19263</v>
      </c>
      <c r="L2595" s="35">
        <f t="shared" ref="L2595:L2658" si="1235">K2595/H2595*100</f>
        <v>76.935980541343653</v>
      </c>
      <c r="M2595" s="35">
        <f t="shared" ref="M2595:M2658" si="1236">K2595/I2595*100</f>
        <v>100</v>
      </c>
    </row>
    <row r="2596" spans="1:13" ht="25.5">
      <c r="A2596" s="59" t="s">
        <v>983</v>
      </c>
      <c r="B2596" s="28" t="s">
        <v>940</v>
      </c>
      <c r="C2596" s="28" t="s">
        <v>110</v>
      </c>
      <c r="D2596" s="28" t="s">
        <v>110</v>
      </c>
      <c r="E2596" s="28" t="s">
        <v>988</v>
      </c>
      <c r="F2596" s="58" t="s">
        <v>0</v>
      </c>
      <c r="G2596" s="35">
        <f>G2597+G2599</f>
        <v>26215</v>
      </c>
      <c r="H2596" s="35">
        <f t="shared" ref="H2596:K2596" si="1237">H2597+H2599</f>
        <v>25055</v>
      </c>
      <c r="I2596" s="35">
        <f t="shared" si="1237"/>
        <v>21908.2</v>
      </c>
      <c r="J2596" s="35">
        <f t="shared" si="1237"/>
        <v>21908.2</v>
      </c>
      <c r="K2596" s="35">
        <f t="shared" si="1237"/>
        <v>21908.2</v>
      </c>
      <c r="L2596" s="35">
        <f t="shared" si="1235"/>
        <v>87.440431051686289</v>
      </c>
      <c r="M2596" s="35">
        <f t="shared" si="1236"/>
        <v>100</v>
      </c>
    </row>
    <row r="2597" spans="1:13">
      <c r="A2597" s="59" t="s">
        <v>68</v>
      </c>
      <c r="B2597" s="28" t="s">
        <v>940</v>
      </c>
      <c r="C2597" s="28" t="s">
        <v>110</v>
      </c>
      <c r="D2597" s="28" t="s">
        <v>110</v>
      </c>
      <c r="E2597" s="28" t="s">
        <v>988</v>
      </c>
      <c r="F2597" s="28" t="s">
        <v>69</v>
      </c>
      <c r="G2597" s="35">
        <f>G2598</f>
        <v>100</v>
      </c>
      <c r="H2597" s="35">
        <f t="shared" ref="H2597:K2597" si="1238">H2598</f>
        <v>100</v>
      </c>
      <c r="I2597" s="35">
        <f t="shared" si="1238"/>
        <v>0</v>
      </c>
      <c r="J2597" s="35">
        <f t="shared" si="1238"/>
        <v>0</v>
      </c>
      <c r="K2597" s="35">
        <f t="shared" si="1238"/>
        <v>0</v>
      </c>
      <c r="L2597" s="35">
        <f t="shared" si="1235"/>
        <v>0</v>
      </c>
      <c r="M2597" s="35">
        <v>0</v>
      </c>
    </row>
    <row r="2598" spans="1:13">
      <c r="A2598" s="59" t="s">
        <v>373</v>
      </c>
      <c r="B2598" s="28" t="s">
        <v>940</v>
      </c>
      <c r="C2598" s="28" t="s">
        <v>110</v>
      </c>
      <c r="D2598" s="28" t="s">
        <v>110</v>
      </c>
      <c r="E2598" s="28" t="s">
        <v>988</v>
      </c>
      <c r="F2598" s="28" t="s">
        <v>374</v>
      </c>
      <c r="G2598" s="35">
        <v>100</v>
      </c>
      <c r="H2598" s="35">
        <v>100</v>
      </c>
      <c r="I2598" s="35">
        <v>0</v>
      </c>
      <c r="J2598" s="35">
        <v>0</v>
      </c>
      <c r="K2598" s="35">
        <v>0</v>
      </c>
      <c r="L2598" s="35">
        <f t="shared" si="1235"/>
        <v>0</v>
      </c>
      <c r="M2598" s="35">
        <v>0</v>
      </c>
    </row>
    <row r="2599" spans="1:13" ht="25.5">
      <c r="A2599" s="59" t="s">
        <v>80</v>
      </c>
      <c r="B2599" s="28" t="s">
        <v>940</v>
      </c>
      <c r="C2599" s="28" t="s">
        <v>110</v>
      </c>
      <c r="D2599" s="28" t="s">
        <v>110</v>
      </c>
      <c r="E2599" s="28" t="s">
        <v>988</v>
      </c>
      <c r="F2599" s="28" t="s">
        <v>81</v>
      </c>
      <c r="G2599" s="35">
        <f>G2600</f>
        <v>26115</v>
      </c>
      <c r="H2599" s="35">
        <f t="shared" ref="H2599:K2599" si="1239">H2600</f>
        <v>24955</v>
      </c>
      <c r="I2599" s="35">
        <f t="shared" si="1239"/>
        <v>21908.2</v>
      </c>
      <c r="J2599" s="35">
        <f t="shared" si="1239"/>
        <v>21908.2</v>
      </c>
      <c r="K2599" s="35">
        <f t="shared" si="1239"/>
        <v>21908.2</v>
      </c>
      <c r="L2599" s="35">
        <f t="shared" si="1235"/>
        <v>87.790823482268081</v>
      </c>
      <c r="M2599" s="35">
        <f t="shared" si="1236"/>
        <v>100</v>
      </c>
    </row>
    <row r="2600" spans="1:13">
      <c r="A2600" s="59" t="s">
        <v>82</v>
      </c>
      <c r="B2600" s="28" t="s">
        <v>940</v>
      </c>
      <c r="C2600" s="28" t="s">
        <v>110</v>
      </c>
      <c r="D2600" s="28" t="s">
        <v>110</v>
      </c>
      <c r="E2600" s="28" t="s">
        <v>988</v>
      </c>
      <c r="F2600" s="28" t="s">
        <v>83</v>
      </c>
      <c r="G2600" s="35">
        <v>26115</v>
      </c>
      <c r="H2600" s="35">
        <v>24955</v>
      </c>
      <c r="I2600" s="35">
        <v>21908.2</v>
      </c>
      <c r="J2600" s="35">
        <v>21908.2</v>
      </c>
      <c r="K2600" s="35">
        <v>21908.2</v>
      </c>
      <c r="L2600" s="35">
        <f t="shared" si="1235"/>
        <v>87.790823482268081</v>
      </c>
      <c r="M2600" s="35">
        <f t="shared" si="1236"/>
        <v>100</v>
      </c>
    </row>
    <row r="2601" spans="1:13" ht="25.5">
      <c r="A2601" s="59" t="s">
        <v>989</v>
      </c>
      <c r="B2601" s="28" t="s">
        <v>940</v>
      </c>
      <c r="C2601" s="28" t="s">
        <v>110</v>
      </c>
      <c r="D2601" s="28" t="s">
        <v>110</v>
      </c>
      <c r="E2601" s="28" t="s">
        <v>990</v>
      </c>
      <c r="F2601" s="58" t="s">
        <v>0</v>
      </c>
      <c r="G2601" s="35">
        <f>G2602</f>
        <v>5150</v>
      </c>
      <c r="H2601" s="35">
        <f t="shared" ref="H2601:K2602" si="1240">H2602</f>
        <v>5150</v>
      </c>
      <c r="I2601" s="35">
        <f t="shared" si="1240"/>
        <v>5150</v>
      </c>
      <c r="J2601" s="35">
        <f t="shared" si="1240"/>
        <v>5150</v>
      </c>
      <c r="K2601" s="35">
        <f t="shared" si="1240"/>
        <v>4149.3130000000001</v>
      </c>
      <c r="L2601" s="35">
        <f t="shared" si="1235"/>
        <v>80.569184466019422</v>
      </c>
      <c r="M2601" s="35">
        <f t="shared" si="1236"/>
        <v>80.569184466019422</v>
      </c>
    </row>
    <row r="2602" spans="1:13">
      <c r="A2602" s="59" t="s">
        <v>26</v>
      </c>
      <c r="B2602" s="28" t="s">
        <v>940</v>
      </c>
      <c r="C2602" s="28" t="s">
        <v>110</v>
      </c>
      <c r="D2602" s="28" t="s">
        <v>110</v>
      </c>
      <c r="E2602" s="28" t="s">
        <v>990</v>
      </c>
      <c r="F2602" s="28" t="s">
        <v>27</v>
      </c>
      <c r="G2602" s="35">
        <f>G2603</f>
        <v>5150</v>
      </c>
      <c r="H2602" s="35">
        <f t="shared" si="1240"/>
        <v>5150</v>
      </c>
      <c r="I2602" s="35">
        <f t="shared" si="1240"/>
        <v>5150</v>
      </c>
      <c r="J2602" s="35">
        <f t="shared" si="1240"/>
        <v>5150</v>
      </c>
      <c r="K2602" s="35">
        <f t="shared" si="1240"/>
        <v>4149.3130000000001</v>
      </c>
      <c r="L2602" s="35">
        <f t="shared" si="1235"/>
        <v>80.569184466019422</v>
      </c>
      <c r="M2602" s="35">
        <f t="shared" si="1236"/>
        <v>80.569184466019422</v>
      </c>
    </row>
    <row r="2603" spans="1:13">
      <c r="A2603" s="59" t="s">
        <v>56</v>
      </c>
      <c r="B2603" s="28" t="s">
        <v>940</v>
      </c>
      <c r="C2603" s="28" t="s">
        <v>110</v>
      </c>
      <c r="D2603" s="28" t="s">
        <v>110</v>
      </c>
      <c r="E2603" s="28" t="s">
        <v>990</v>
      </c>
      <c r="F2603" s="28" t="s">
        <v>57</v>
      </c>
      <c r="G2603" s="35">
        <v>5150</v>
      </c>
      <c r="H2603" s="35">
        <v>5150</v>
      </c>
      <c r="I2603" s="35">
        <v>5150</v>
      </c>
      <c r="J2603" s="35">
        <v>5150</v>
      </c>
      <c r="K2603" s="35">
        <v>4149.3130000000001</v>
      </c>
      <c r="L2603" s="35">
        <f t="shared" si="1235"/>
        <v>80.569184466019422</v>
      </c>
      <c r="M2603" s="35">
        <f t="shared" si="1236"/>
        <v>80.569184466019422</v>
      </c>
    </row>
    <row r="2604" spans="1:13" ht="51">
      <c r="A2604" s="59" t="s">
        <v>450</v>
      </c>
      <c r="B2604" s="28" t="s">
        <v>940</v>
      </c>
      <c r="C2604" s="28" t="s">
        <v>110</v>
      </c>
      <c r="D2604" s="28" t="s">
        <v>110</v>
      </c>
      <c r="E2604" s="28" t="s">
        <v>451</v>
      </c>
      <c r="F2604" s="58" t="s">
        <v>0</v>
      </c>
      <c r="G2604" s="35">
        <f>G2605+G2608+G2611</f>
        <v>45935.5</v>
      </c>
      <c r="H2604" s="35">
        <f t="shared" ref="H2604:K2604" si="1241">H2605+H2608+H2611</f>
        <v>45935.5</v>
      </c>
      <c r="I2604" s="35">
        <f t="shared" si="1241"/>
        <v>41635.5</v>
      </c>
      <c r="J2604" s="35">
        <f t="shared" si="1241"/>
        <v>41635.5</v>
      </c>
      <c r="K2604" s="35">
        <f t="shared" si="1241"/>
        <v>41635.5</v>
      </c>
      <c r="L2604" s="35">
        <f t="shared" si="1235"/>
        <v>90.639048230671264</v>
      </c>
      <c r="M2604" s="35">
        <f t="shared" si="1236"/>
        <v>100</v>
      </c>
    </row>
    <row r="2605" spans="1:13" ht="25.5">
      <c r="A2605" s="59" t="s">
        <v>76</v>
      </c>
      <c r="B2605" s="28" t="s">
        <v>940</v>
      </c>
      <c r="C2605" s="28" t="s">
        <v>110</v>
      </c>
      <c r="D2605" s="28" t="s">
        <v>110</v>
      </c>
      <c r="E2605" s="28" t="s">
        <v>991</v>
      </c>
      <c r="F2605" s="58" t="s">
        <v>0</v>
      </c>
      <c r="G2605" s="35">
        <f>G2606</f>
        <v>13000</v>
      </c>
      <c r="H2605" s="35">
        <f t="shared" ref="H2605:K2606" si="1242">H2606</f>
        <v>13000</v>
      </c>
      <c r="I2605" s="35">
        <f t="shared" si="1242"/>
        <v>10000</v>
      </c>
      <c r="J2605" s="35">
        <f t="shared" si="1242"/>
        <v>10000</v>
      </c>
      <c r="K2605" s="35">
        <f t="shared" si="1242"/>
        <v>10000</v>
      </c>
      <c r="L2605" s="35">
        <f t="shared" si="1235"/>
        <v>76.923076923076934</v>
      </c>
      <c r="M2605" s="35">
        <f t="shared" si="1236"/>
        <v>100</v>
      </c>
    </row>
    <row r="2606" spans="1:13" ht="25.5">
      <c r="A2606" s="59" t="s">
        <v>80</v>
      </c>
      <c r="B2606" s="28" t="s">
        <v>940</v>
      </c>
      <c r="C2606" s="28" t="s">
        <v>110</v>
      </c>
      <c r="D2606" s="28" t="s">
        <v>110</v>
      </c>
      <c r="E2606" s="28" t="s">
        <v>991</v>
      </c>
      <c r="F2606" s="28" t="s">
        <v>81</v>
      </c>
      <c r="G2606" s="35">
        <f>G2607</f>
        <v>13000</v>
      </c>
      <c r="H2606" s="35">
        <f t="shared" si="1242"/>
        <v>13000</v>
      </c>
      <c r="I2606" s="35">
        <f t="shared" si="1242"/>
        <v>10000</v>
      </c>
      <c r="J2606" s="35">
        <f t="shared" si="1242"/>
        <v>10000</v>
      </c>
      <c r="K2606" s="35">
        <f t="shared" si="1242"/>
        <v>10000</v>
      </c>
      <c r="L2606" s="35">
        <f t="shared" si="1235"/>
        <v>76.923076923076934</v>
      </c>
      <c r="M2606" s="35">
        <f t="shared" si="1236"/>
        <v>100</v>
      </c>
    </row>
    <row r="2607" spans="1:13">
      <c r="A2607" s="59" t="s">
        <v>82</v>
      </c>
      <c r="B2607" s="28" t="s">
        <v>940</v>
      </c>
      <c r="C2607" s="28" t="s">
        <v>110</v>
      </c>
      <c r="D2607" s="28" t="s">
        <v>110</v>
      </c>
      <c r="E2607" s="28" t="s">
        <v>991</v>
      </c>
      <c r="F2607" s="28" t="s">
        <v>83</v>
      </c>
      <c r="G2607" s="35">
        <v>13000</v>
      </c>
      <c r="H2607" s="35">
        <v>13000</v>
      </c>
      <c r="I2607" s="35">
        <v>10000</v>
      </c>
      <c r="J2607" s="35">
        <v>10000</v>
      </c>
      <c r="K2607" s="35">
        <v>10000</v>
      </c>
      <c r="L2607" s="35">
        <f t="shared" si="1235"/>
        <v>76.923076923076934</v>
      </c>
      <c r="M2607" s="35">
        <f t="shared" si="1236"/>
        <v>100</v>
      </c>
    </row>
    <row r="2608" spans="1:13" ht="25.5">
      <c r="A2608" s="59" t="s">
        <v>983</v>
      </c>
      <c r="B2608" s="28" t="s">
        <v>940</v>
      </c>
      <c r="C2608" s="28" t="s">
        <v>110</v>
      </c>
      <c r="D2608" s="28" t="s">
        <v>110</v>
      </c>
      <c r="E2608" s="28" t="s">
        <v>992</v>
      </c>
      <c r="F2608" s="58" t="s">
        <v>0</v>
      </c>
      <c r="G2608" s="35">
        <f>G2609</f>
        <v>32535.5</v>
      </c>
      <c r="H2608" s="35">
        <f t="shared" ref="H2608:K2609" si="1243">H2609</f>
        <v>32535.5</v>
      </c>
      <c r="I2608" s="35">
        <f t="shared" si="1243"/>
        <v>31235.5</v>
      </c>
      <c r="J2608" s="35">
        <f t="shared" si="1243"/>
        <v>31235.5</v>
      </c>
      <c r="K2608" s="35">
        <f t="shared" si="1243"/>
        <v>31235.5</v>
      </c>
      <c r="L2608" s="35">
        <f t="shared" si="1235"/>
        <v>96.004364463432239</v>
      </c>
      <c r="M2608" s="35">
        <f t="shared" si="1236"/>
        <v>100</v>
      </c>
    </row>
    <row r="2609" spans="1:13" ht="25.5">
      <c r="A2609" s="59" t="s">
        <v>80</v>
      </c>
      <c r="B2609" s="28" t="s">
        <v>940</v>
      </c>
      <c r="C2609" s="28" t="s">
        <v>110</v>
      </c>
      <c r="D2609" s="28" t="s">
        <v>110</v>
      </c>
      <c r="E2609" s="28" t="s">
        <v>992</v>
      </c>
      <c r="F2609" s="28" t="s">
        <v>81</v>
      </c>
      <c r="G2609" s="35">
        <f>G2610</f>
        <v>32535.5</v>
      </c>
      <c r="H2609" s="35">
        <f t="shared" si="1243"/>
        <v>32535.5</v>
      </c>
      <c r="I2609" s="35">
        <f t="shared" si="1243"/>
        <v>31235.5</v>
      </c>
      <c r="J2609" s="35">
        <f t="shared" si="1243"/>
        <v>31235.5</v>
      </c>
      <c r="K2609" s="35">
        <f t="shared" si="1243"/>
        <v>31235.5</v>
      </c>
      <c r="L2609" s="35">
        <f t="shared" si="1235"/>
        <v>96.004364463432239</v>
      </c>
      <c r="M2609" s="35">
        <f t="shared" si="1236"/>
        <v>100</v>
      </c>
    </row>
    <row r="2610" spans="1:13">
      <c r="A2610" s="59" t="s">
        <v>82</v>
      </c>
      <c r="B2610" s="28" t="s">
        <v>940</v>
      </c>
      <c r="C2610" s="28" t="s">
        <v>110</v>
      </c>
      <c r="D2610" s="28" t="s">
        <v>110</v>
      </c>
      <c r="E2610" s="28" t="s">
        <v>992</v>
      </c>
      <c r="F2610" s="28" t="s">
        <v>83</v>
      </c>
      <c r="G2610" s="35">
        <v>32535.5</v>
      </c>
      <c r="H2610" s="35">
        <v>32535.5</v>
      </c>
      <c r="I2610" s="35">
        <v>31235.5</v>
      </c>
      <c r="J2610" s="35">
        <v>31235.5</v>
      </c>
      <c r="K2610" s="35">
        <v>31235.5</v>
      </c>
      <c r="L2610" s="35">
        <f t="shared" si="1235"/>
        <v>96.004364463432239</v>
      </c>
      <c r="M2610" s="35">
        <f t="shared" si="1236"/>
        <v>100</v>
      </c>
    </row>
    <row r="2611" spans="1:13" ht="51">
      <c r="A2611" s="59" t="s">
        <v>993</v>
      </c>
      <c r="B2611" s="28" t="s">
        <v>940</v>
      </c>
      <c r="C2611" s="28" t="s">
        <v>110</v>
      </c>
      <c r="D2611" s="28" t="s">
        <v>110</v>
      </c>
      <c r="E2611" s="28" t="s">
        <v>994</v>
      </c>
      <c r="F2611" s="58" t="s">
        <v>0</v>
      </c>
      <c r="G2611" s="35">
        <f>G2612</f>
        <v>400</v>
      </c>
      <c r="H2611" s="35">
        <f t="shared" ref="H2611:K2612" si="1244">H2612</f>
        <v>400</v>
      </c>
      <c r="I2611" s="35">
        <f t="shared" si="1244"/>
        <v>400</v>
      </c>
      <c r="J2611" s="35">
        <f t="shared" si="1244"/>
        <v>400</v>
      </c>
      <c r="K2611" s="35">
        <f t="shared" si="1244"/>
        <v>400</v>
      </c>
      <c r="L2611" s="35">
        <f t="shared" si="1235"/>
        <v>100</v>
      </c>
      <c r="M2611" s="35">
        <f t="shared" si="1236"/>
        <v>100</v>
      </c>
    </row>
    <row r="2612" spans="1:13">
      <c r="A2612" s="59" t="s">
        <v>26</v>
      </c>
      <c r="B2612" s="28" t="s">
        <v>940</v>
      </c>
      <c r="C2612" s="28" t="s">
        <v>110</v>
      </c>
      <c r="D2612" s="28" t="s">
        <v>110</v>
      </c>
      <c r="E2612" s="28" t="s">
        <v>994</v>
      </c>
      <c r="F2612" s="28" t="s">
        <v>27</v>
      </c>
      <c r="G2612" s="35">
        <f>G2613</f>
        <v>400</v>
      </c>
      <c r="H2612" s="35">
        <f t="shared" si="1244"/>
        <v>400</v>
      </c>
      <c r="I2612" s="35">
        <f t="shared" si="1244"/>
        <v>400</v>
      </c>
      <c r="J2612" s="35">
        <f t="shared" si="1244"/>
        <v>400</v>
      </c>
      <c r="K2612" s="35">
        <f t="shared" si="1244"/>
        <v>400</v>
      </c>
      <c r="L2612" s="35">
        <f t="shared" si="1235"/>
        <v>100</v>
      </c>
      <c r="M2612" s="35">
        <f t="shared" si="1236"/>
        <v>100</v>
      </c>
    </row>
    <row r="2613" spans="1:13">
      <c r="A2613" s="59" t="s">
        <v>56</v>
      </c>
      <c r="B2613" s="28" t="s">
        <v>940</v>
      </c>
      <c r="C2613" s="28" t="s">
        <v>110</v>
      </c>
      <c r="D2613" s="28" t="s">
        <v>110</v>
      </c>
      <c r="E2613" s="28" t="s">
        <v>994</v>
      </c>
      <c r="F2613" s="28" t="s">
        <v>57</v>
      </c>
      <c r="G2613" s="35">
        <v>400</v>
      </c>
      <c r="H2613" s="35">
        <v>400</v>
      </c>
      <c r="I2613" s="35">
        <v>400</v>
      </c>
      <c r="J2613" s="35">
        <v>400</v>
      </c>
      <c r="K2613" s="35">
        <v>400</v>
      </c>
      <c r="L2613" s="35">
        <f t="shared" si="1235"/>
        <v>100</v>
      </c>
      <c r="M2613" s="35">
        <f t="shared" si="1236"/>
        <v>100</v>
      </c>
    </row>
    <row r="2614" spans="1:13" s="42" customFormat="1">
      <c r="A2614" s="62" t="s">
        <v>612</v>
      </c>
      <c r="B2614" s="28" t="s">
        <v>940</v>
      </c>
      <c r="C2614" s="28" t="s">
        <v>110</v>
      </c>
      <c r="D2614" s="28" t="s">
        <v>110</v>
      </c>
      <c r="E2614" s="29" t="s">
        <v>613</v>
      </c>
      <c r="F2614" s="28"/>
      <c r="G2614" s="35"/>
      <c r="H2614" s="35">
        <f>H2615</f>
        <v>10505.023069999999</v>
      </c>
      <c r="I2614" s="35">
        <f t="shared" ref="I2614:K2615" si="1245">I2615</f>
        <v>10505.023069999999</v>
      </c>
      <c r="J2614" s="35">
        <f t="shared" si="1245"/>
        <v>10505.023069999999</v>
      </c>
      <c r="K2614" s="35">
        <f t="shared" si="1245"/>
        <v>3838.7280700000001</v>
      </c>
      <c r="L2614" s="35">
        <f t="shared" si="1235"/>
        <v>36.541833791517796</v>
      </c>
      <c r="M2614" s="35">
        <f t="shared" si="1236"/>
        <v>36.541833791517796</v>
      </c>
    </row>
    <row r="2615" spans="1:13" s="42" customFormat="1">
      <c r="A2615" s="62" t="s">
        <v>612</v>
      </c>
      <c r="B2615" s="28" t="s">
        <v>940</v>
      </c>
      <c r="C2615" s="28" t="s">
        <v>110</v>
      </c>
      <c r="D2615" s="28" t="s">
        <v>110</v>
      </c>
      <c r="E2615" s="29" t="s">
        <v>614</v>
      </c>
      <c r="F2615" s="28"/>
      <c r="G2615" s="35"/>
      <c r="H2615" s="35">
        <f>H2616</f>
        <v>10505.023069999999</v>
      </c>
      <c r="I2615" s="35">
        <f t="shared" si="1245"/>
        <v>10505.023069999999</v>
      </c>
      <c r="J2615" s="35">
        <f t="shared" si="1245"/>
        <v>10505.023069999999</v>
      </c>
      <c r="K2615" s="35">
        <f t="shared" si="1245"/>
        <v>3838.7280700000001</v>
      </c>
      <c r="L2615" s="35">
        <f t="shared" si="1235"/>
        <v>36.541833791517796</v>
      </c>
      <c r="M2615" s="35">
        <f t="shared" si="1236"/>
        <v>36.541833791517796</v>
      </c>
    </row>
    <row r="2616" spans="1:13" s="42" customFormat="1" ht="25.5">
      <c r="A2616" s="59" t="s">
        <v>80</v>
      </c>
      <c r="B2616" s="28" t="s">
        <v>940</v>
      </c>
      <c r="C2616" s="28" t="s">
        <v>110</v>
      </c>
      <c r="D2616" s="28" t="s">
        <v>110</v>
      </c>
      <c r="E2616" s="29" t="s">
        <v>614</v>
      </c>
      <c r="F2616" s="28">
        <v>600</v>
      </c>
      <c r="G2616" s="35"/>
      <c r="H2616" s="35">
        <f>H2617+H2618</f>
        <v>10505.023069999999</v>
      </c>
      <c r="I2616" s="35">
        <f t="shared" ref="I2616:K2616" si="1246">I2617+I2618</f>
        <v>10505.023069999999</v>
      </c>
      <c r="J2616" s="35">
        <f t="shared" si="1246"/>
        <v>10505.023069999999</v>
      </c>
      <c r="K2616" s="35">
        <f t="shared" si="1246"/>
        <v>3838.7280700000001</v>
      </c>
      <c r="L2616" s="35">
        <f t="shared" si="1235"/>
        <v>36.541833791517796</v>
      </c>
      <c r="M2616" s="35">
        <f t="shared" si="1236"/>
        <v>36.541833791517796</v>
      </c>
    </row>
    <row r="2617" spans="1:13" s="42" customFormat="1">
      <c r="A2617" s="59" t="s">
        <v>82</v>
      </c>
      <c r="B2617" s="28" t="s">
        <v>940</v>
      </c>
      <c r="C2617" s="28" t="s">
        <v>110</v>
      </c>
      <c r="D2617" s="28" t="s">
        <v>110</v>
      </c>
      <c r="E2617" s="29" t="s">
        <v>614</v>
      </c>
      <c r="F2617" s="28">
        <v>620</v>
      </c>
      <c r="G2617" s="35"/>
      <c r="H2617" s="35">
        <v>9682.5230699999993</v>
      </c>
      <c r="I2617" s="35">
        <v>9682.5230699999993</v>
      </c>
      <c r="J2617" s="35">
        <v>9682.5230699999993</v>
      </c>
      <c r="K2617" s="35">
        <v>3016.2280700000001</v>
      </c>
      <c r="L2617" s="35">
        <f t="shared" si="1235"/>
        <v>31.151261382948615</v>
      </c>
      <c r="M2617" s="35">
        <f t="shared" si="1236"/>
        <v>31.151261382948615</v>
      </c>
    </row>
    <row r="2618" spans="1:13" s="92" customFormat="1" ht="38.25">
      <c r="A2618" s="8" t="s">
        <v>195</v>
      </c>
      <c r="B2618" s="28" t="s">
        <v>940</v>
      </c>
      <c r="C2618" s="28" t="s">
        <v>110</v>
      </c>
      <c r="D2618" s="28" t="s">
        <v>110</v>
      </c>
      <c r="E2618" s="29" t="s">
        <v>614</v>
      </c>
      <c r="F2618" s="28">
        <v>630</v>
      </c>
      <c r="G2618" s="35"/>
      <c r="H2618" s="35">
        <v>822.5</v>
      </c>
      <c r="I2618" s="35">
        <v>822.5</v>
      </c>
      <c r="J2618" s="35">
        <v>822.5</v>
      </c>
      <c r="K2618" s="35">
        <v>822.5</v>
      </c>
      <c r="L2618" s="35">
        <f t="shared" si="1235"/>
        <v>100</v>
      </c>
      <c r="M2618" s="35">
        <f t="shared" si="1236"/>
        <v>100</v>
      </c>
    </row>
    <row r="2619" spans="1:13" ht="15" customHeight="1">
      <c r="A2619" s="60" t="s">
        <v>0</v>
      </c>
      <c r="B2619" s="58" t="s">
        <v>0</v>
      </c>
      <c r="C2619" s="58" t="s">
        <v>0</v>
      </c>
      <c r="D2619" s="58" t="s">
        <v>0</v>
      </c>
      <c r="E2619" s="58" t="s">
        <v>0</v>
      </c>
      <c r="F2619" s="58" t="s">
        <v>0</v>
      </c>
      <c r="G2619" s="61" t="s">
        <v>0</v>
      </c>
      <c r="H2619" s="61" t="s">
        <v>0</v>
      </c>
      <c r="I2619" s="61" t="s">
        <v>0</v>
      </c>
      <c r="J2619" s="61" t="s">
        <v>0</v>
      </c>
      <c r="K2619" s="61" t="s">
        <v>0</v>
      </c>
      <c r="L2619" s="35"/>
      <c r="M2619" s="35"/>
    </row>
    <row r="2620" spans="1:13">
      <c r="A2620" s="59" t="s">
        <v>147</v>
      </c>
      <c r="B2620" s="28" t="s">
        <v>940</v>
      </c>
      <c r="C2620" s="28" t="s">
        <v>148</v>
      </c>
      <c r="D2620" s="58" t="s">
        <v>0</v>
      </c>
      <c r="E2620" s="58" t="s">
        <v>0</v>
      </c>
      <c r="F2620" s="58" t="s">
        <v>0</v>
      </c>
      <c r="G2620" s="35">
        <f>G2621+G2630</f>
        <v>82412.899999999994</v>
      </c>
      <c r="H2620" s="35">
        <f t="shared" ref="H2620:K2620" si="1247">H2621+H2630</f>
        <v>189622.14867</v>
      </c>
      <c r="I2620" s="35">
        <f t="shared" si="1247"/>
        <v>189542.14867</v>
      </c>
      <c r="J2620" s="35">
        <f t="shared" si="1247"/>
        <v>189542.14867</v>
      </c>
      <c r="K2620" s="35">
        <f t="shared" si="1247"/>
        <v>135906.33765</v>
      </c>
      <c r="L2620" s="35">
        <f t="shared" si="1235"/>
        <v>71.672185239561983</v>
      </c>
      <c r="M2620" s="35">
        <f t="shared" si="1236"/>
        <v>71.702435898106259</v>
      </c>
    </row>
    <row r="2621" spans="1:13">
      <c r="A2621" s="59" t="s">
        <v>149</v>
      </c>
      <c r="B2621" s="28" t="s">
        <v>940</v>
      </c>
      <c r="C2621" s="28" t="s">
        <v>148</v>
      </c>
      <c r="D2621" s="28" t="s">
        <v>150</v>
      </c>
      <c r="E2621" s="58" t="s">
        <v>0</v>
      </c>
      <c r="F2621" s="58" t="s">
        <v>0</v>
      </c>
      <c r="G2621" s="35">
        <f>G2622</f>
        <v>82332.899999999994</v>
      </c>
      <c r="H2621" s="35">
        <f t="shared" ref="H2621:K2628" si="1248">H2622</f>
        <v>189542.14867</v>
      </c>
      <c r="I2621" s="35">
        <f t="shared" si="1248"/>
        <v>189542.14867</v>
      </c>
      <c r="J2621" s="35">
        <f t="shared" si="1248"/>
        <v>189542.14867</v>
      </c>
      <c r="K2621" s="35">
        <f t="shared" si="1248"/>
        <v>135906.33765</v>
      </c>
      <c r="L2621" s="35">
        <f t="shared" si="1235"/>
        <v>71.702435898106259</v>
      </c>
      <c r="M2621" s="35">
        <f t="shared" si="1236"/>
        <v>71.702435898106259</v>
      </c>
    </row>
    <row r="2622" spans="1:13" ht="51">
      <c r="A2622" s="59" t="s">
        <v>20</v>
      </c>
      <c r="B2622" s="28" t="s">
        <v>940</v>
      </c>
      <c r="C2622" s="28" t="s">
        <v>148</v>
      </c>
      <c r="D2622" s="28" t="s">
        <v>150</v>
      </c>
      <c r="E2622" s="28" t="s">
        <v>21</v>
      </c>
      <c r="F2622" s="58" t="s">
        <v>0</v>
      </c>
      <c r="G2622" s="35">
        <f>G2623</f>
        <v>82332.899999999994</v>
      </c>
      <c r="H2622" s="35">
        <f t="shared" si="1248"/>
        <v>189542.14867</v>
      </c>
      <c r="I2622" s="35">
        <f t="shared" si="1248"/>
        <v>189542.14867</v>
      </c>
      <c r="J2622" s="35">
        <f t="shared" si="1248"/>
        <v>189542.14867</v>
      </c>
      <c r="K2622" s="35">
        <f t="shared" si="1248"/>
        <v>135906.33765</v>
      </c>
      <c r="L2622" s="35">
        <f t="shared" si="1235"/>
        <v>71.702435898106259</v>
      </c>
      <c r="M2622" s="35">
        <f t="shared" si="1236"/>
        <v>71.702435898106259</v>
      </c>
    </row>
    <row r="2623" spans="1:13">
      <c r="A2623" s="59" t="s">
        <v>995</v>
      </c>
      <c r="B2623" s="28" t="s">
        <v>940</v>
      </c>
      <c r="C2623" s="28" t="s">
        <v>148</v>
      </c>
      <c r="D2623" s="28" t="s">
        <v>150</v>
      </c>
      <c r="E2623" s="28" t="s">
        <v>996</v>
      </c>
      <c r="F2623" s="58" t="s">
        <v>0</v>
      </c>
      <c r="G2623" s="35">
        <f>G2627</f>
        <v>82332.899999999994</v>
      </c>
      <c r="H2623" s="35">
        <f>H2627+H2624</f>
        <v>189542.14867</v>
      </c>
      <c r="I2623" s="35">
        <f t="shared" ref="I2623:K2623" si="1249">I2627+I2624</f>
        <v>189542.14867</v>
      </c>
      <c r="J2623" s="35">
        <f t="shared" si="1249"/>
        <v>189542.14867</v>
      </c>
      <c r="K2623" s="35">
        <f t="shared" si="1249"/>
        <v>135906.33765</v>
      </c>
      <c r="L2623" s="35">
        <f t="shared" si="1235"/>
        <v>71.702435898106259</v>
      </c>
      <c r="M2623" s="35">
        <f t="shared" si="1236"/>
        <v>71.702435898106259</v>
      </c>
    </row>
    <row r="2624" spans="1:13" ht="39.75" customHeight="1">
      <c r="A2624" s="59" t="s">
        <v>1203</v>
      </c>
      <c r="B2624" s="28" t="s">
        <v>940</v>
      </c>
      <c r="C2624" s="28" t="s">
        <v>148</v>
      </c>
      <c r="D2624" s="28" t="s">
        <v>150</v>
      </c>
      <c r="E2624" s="29" t="s">
        <v>1202</v>
      </c>
      <c r="F2624" s="58"/>
      <c r="G2624" s="35"/>
      <c r="H2624" s="35">
        <f>H2625</f>
        <v>107209.29496</v>
      </c>
      <c r="I2624" s="35">
        <f t="shared" ref="I2624:K2625" si="1250">I2625</f>
        <v>107209.29496</v>
      </c>
      <c r="J2624" s="35">
        <f t="shared" si="1250"/>
        <v>107209.29496</v>
      </c>
      <c r="K2624" s="35">
        <f t="shared" si="1250"/>
        <v>106462.57876</v>
      </c>
      <c r="L2624" s="35">
        <f t="shared" si="1235"/>
        <v>99.303496772104879</v>
      </c>
      <c r="M2624" s="35">
        <f t="shared" si="1236"/>
        <v>99.303496772104879</v>
      </c>
    </row>
    <row r="2625" spans="1:13">
      <c r="A2625" s="59" t="s">
        <v>26</v>
      </c>
      <c r="B2625" s="28" t="s">
        <v>940</v>
      </c>
      <c r="C2625" s="28" t="s">
        <v>148</v>
      </c>
      <c r="D2625" s="28" t="s">
        <v>150</v>
      </c>
      <c r="E2625" s="29" t="s">
        <v>1202</v>
      </c>
      <c r="F2625" s="58">
        <v>500</v>
      </c>
      <c r="G2625" s="35"/>
      <c r="H2625" s="35">
        <f>H2626</f>
        <v>107209.29496</v>
      </c>
      <c r="I2625" s="35">
        <f t="shared" si="1250"/>
        <v>107209.29496</v>
      </c>
      <c r="J2625" s="35">
        <f t="shared" si="1250"/>
        <v>107209.29496</v>
      </c>
      <c r="K2625" s="35">
        <f t="shared" si="1250"/>
        <v>106462.57876</v>
      </c>
      <c r="L2625" s="35">
        <f t="shared" si="1235"/>
        <v>99.303496772104879</v>
      </c>
      <c r="M2625" s="35">
        <f t="shared" si="1236"/>
        <v>99.303496772104879</v>
      </c>
    </row>
    <row r="2626" spans="1:13">
      <c r="A2626" s="59" t="s">
        <v>56</v>
      </c>
      <c r="B2626" s="28" t="s">
        <v>940</v>
      </c>
      <c r="C2626" s="28" t="s">
        <v>148</v>
      </c>
      <c r="D2626" s="28" t="s">
        <v>150</v>
      </c>
      <c r="E2626" s="29" t="s">
        <v>1202</v>
      </c>
      <c r="F2626" s="58">
        <v>520</v>
      </c>
      <c r="G2626" s="35"/>
      <c r="H2626" s="35">
        <v>107209.29496</v>
      </c>
      <c r="I2626" s="35">
        <v>107209.29496</v>
      </c>
      <c r="J2626" s="35">
        <v>107209.29496</v>
      </c>
      <c r="K2626" s="35">
        <v>106462.57876</v>
      </c>
      <c r="L2626" s="35">
        <f t="shared" si="1235"/>
        <v>99.303496772104879</v>
      </c>
      <c r="M2626" s="35">
        <f t="shared" si="1236"/>
        <v>99.303496772104879</v>
      </c>
    </row>
    <row r="2627" spans="1:13" ht="38.25">
      <c r="A2627" s="59" t="s">
        <v>997</v>
      </c>
      <c r="B2627" s="28" t="s">
        <v>940</v>
      </c>
      <c r="C2627" s="28" t="s">
        <v>148</v>
      </c>
      <c r="D2627" s="28" t="s">
        <v>150</v>
      </c>
      <c r="E2627" s="28" t="s">
        <v>998</v>
      </c>
      <c r="F2627" s="58" t="s">
        <v>0</v>
      </c>
      <c r="G2627" s="35">
        <f>G2628</f>
        <v>82332.899999999994</v>
      </c>
      <c r="H2627" s="35">
        <f t="shared" si="1248"/>
        <v>82332.853709999996</v>
      </c>
      <c r="I2627" s="35">
        <f t="shared" si="1248"/>
        <v>82332.853709999996</v>
      </c>
      <c r="J2627" s="35">
        <f t="shared" si="1248"/>
        <v>82332.853709999996</v>
      </c>
      <c r="K2627" s="35">
        <f t="shared" si="1248"/>
        <v>29443.758890000001</v>
      </c>
      <c r="L2627" s="35">
        <f t="shared" si="1235"/>
        <v>35.761858800266289</v>
      </c>
      <c r="M2627" s="35">
        <f t="shared" si="1236"/>
        <v>35.761858800266289</v>
      </c>
    </row>
    <row r="2628" spans="1:13">
      <c r="A2628" s="59" t="s">
        <v>26</v>
      </c>
      <c r="B2628" s="28" t="s">
        <v>940</v>
      </c>
      <c r="C2628" s="28" t="s">
        <v>148</v>
      </c>
      <c r="D2628" s="28" t="s">
        <v>150</v>
      </c>
      <c r="E2628" s="28" t="s">
        <v>998</v>
      </c>
      <c r="F2628" s="28" t="s">
        <v>27</v>
      </c>
      <c r="G2628" s="35">
        <f>G2629</f>
        <v>82332.899999999994</v>
      </c>
      <c r="H2628" s="35">
        <f t="shared" si="1248"/>
        <v>82332.853709999996</v>
      </c>
      <c r="I2628" s="35">
        <f t="shared" si="1248"/>
        <v>82332.853709999996</v>
      </c>
      <c r="J2628" s="35">
        <f t="shared" si="1248"/>
        <v>82332.853709999996</v>
      </c>
      <c r="K2628" s="35">
        <f t="shared" si="1248"/>
        <v>29443.758890000001</v>
      </c>
      <c r="L2628" s="35">
        <f t="shared" si="1235"/>
        <v>35.761858800266289</v>
      </c>
      <c r="M2628" s="35">
        <f t="shared" si="1236"/>
        <v>35.761858800266289</v>
      </c>
    </row>
    <row r="2629" spans="1:13">
      <c r="A2629" s="59" t="s">
        <v>56</v>
      </c>
      <c r="B2629" s="28" t="s">
        <v>940</v>
      </c>
      <c r="C2629" s="28" t="s">
        <v>148</v>
      </c>
      <c r="D2629" s="28" t="s">
        <v>150</v>
      </c>
      <c r="E2629" s="28" t="s">
        <v>998</v>
      </c>
      <c r="F2629" s="28" t="s">
        <v>57</v>
      </c>
      <c r="G2629" s="35">
        <v>82332.899999999994</v>
      </c>
      <c r="H2629" s="35">
        <v>82332.853709999996</v>
      </c>
      <c r="I2629" s="35">
        <v>82332.853709999996</v>
      </c>
      <c r="J2629" s="35">
        <v>82332.853709999996</v>
      </c>
      <c r="K2629" s="35">
        <v>29443.758890000001</v>
      </c>
      <c r="L2629" s="35">
        <f t="shared" si="1235"/>
        <v>35.761858800266289</v>
      </c>
      <c r="M2629" s="35">
        <f t="shared" si="1236"/>
        <v>35.761858800266289</v>
      </c>
    </row>
    <row r="2630" spans="1:13">
      <c r="A2630" s="59" t="s">
        <v>477</v>
      </c>
      <c r="B2630" s="28" t="s">
        <v>940</v>
      </c>
      <c r="C2630" s="28" t="s">
        <v>148</v>
      </c>
      <c r="D2630" s="28" t="s">
        <v>32</v>
      </c>
      <c r="E2630" s="58" t="s">
        <v>0</v>
      </c>
      <c r="F2630" s="58" t="s">
        <v>0</v>
      </c>
      <c r="G2630" s="35">
        <f>G2631</f>
        <v>80</v>
      </c>
      <c r="H2630" s="35">
        <f t="shared" ref="H2630:K2634" si="1251">H2631</f>
        <v>80</v>
      </c>
      <c r="I2630" s="35">
        <f t="shared" si="1251"/>
        <v>0</v>
      </c>
      <c r="J2630" s="35">
        <f t="shared" si="1251"/>
        <v>0</v>
      </c>
      <c r="K2630" s="35">
        <f t="shared" si="1251"/>
        <v>0</v>
      </c>
      <c r="L2630" s="35">
        <f t="shared" si="1235"/>
        <v>0</v>
      </c>
      <c r="M2630" s="35">
        <v>0</v>
      </c>
    </row>
    <row r="2631" spans="1:13" ht="51">
      <c r="A2631" s="59" t="s">
        <v>20</v>
      </c>
      <c r="B2631" s="28" t="s">
        <v>940</v>
      </c>
      <c r="C2631" s="28" t="s">
        <v>148</v>
      </c>
      <c r="D2631" s="28" t="s">
        <v>32</v>
      </c>
      <c r="E2631" s="28" t="s">
        <v>21</v>
      </c>
      <c r="F2631" s="58" t="s">
        <v>0</v>
      </c>
      <c r="G2631" s="35">
        <f>G2632</f>
        <v>80</v>
      </c>
      <c r="H2631" s="35">
        <f t="shared" si="1251"/>
        <v>80</v>
      </c>
      <c r="I2631" s="35">
        <f t="shared" si="1251"/>
        <v>0</v>
      </c>
      <c r="J2631" s="35">
        <f t="shared" si="1251"/>
        <v>0</v>
      </c>
      <c r="K2631" s="35">
        <f t="shared" si="1251"/>
        <v>0</v>
      </c>
      <c r="L2631" s="35">
        <f t="shared" si="1235"/>
        <v>0</v>
      </c>
      <c r="M2631" s="35">
        <v>0</v>
      </c>
    </row>
    <row r="2632" spans="1:13">
      <c r="A2632" s="59" t="s">
        <v>995</v>
      </c>
      <c r="B2632" s="28" t="s">
        <v>940</v>
      </c>
      <c r="C2632" s="28" t="s">
        <v>148</v>
      </c>
      <c r="D2632" s="28" t="s">
        <v>32</v>
      </c>
      <c r="E2632" s="28" t="s">
        <v>996</v>
      </c>
      <c r="F2632" s="58" t="s">
        <v>0</v>
      </c>
      <c r="G2632" s="35">
        <f>G2633</f>
        <v>80</v>
      </c>
      <c r="H2632" s="35">
        <f t="shared" si="1251"/>
        <v>80</v>
      </c>
      <c r="I2632" s="35">
        <f t="shared" si="1251"/>
        <v>0</v>
      </c>
      <c r="J2632" s="35">
        <f t="shared" si="1251"/>
        <v>0</v>
      </c>
      <c r="K2632" s="35">
        <f t="shared" si="1251"/>
        <v>0</v>
      </c>
      <c r="L2632" s="35">
        <f t="shared" si="1235"/>
        <v>0</v>
      </c>
      <c r="M2632" s="35">
        <v>0</v>
      </c>
    </row>
    <row r="2633" spans="1:13" ht="25.5">
      <c r="A2633" s="59" t="s">
        <v>774</v>
      </c>
      <c r="B2633" s="28" t="s">
        <v>940</v>
      </c>
      <c r="C2633" s="28" t="s">
        <v>148</v>
      </c>
      <c r="D2633" s="28" t="s">
        <v>32</v>
      </c>
      <c r="E2633" s="28" t="s">
        <v>999</v>
      </c>
      <c r="F2633" s="58" t="s">
        <v>0</v>
      </c>
      <c r="G2633" s="35">
        <f>G2634</f>
        <v>80</v>
      </c>
      <c r="H2633" s="35">
        <f t="shared" si="1251"/>
        <v>80</v>
      </c>
      <c r="I2633" s="35">
        <f t="shared" si="1251"/>
        <v>0</v>
      </c>
      <c r="J2633" s="35">
        <f t="shared" si="1251"/>
        <v>0</v>
      </c>
      <c r="K2633" s="35">
        <f t="shared" si="1251"/>
        <v>0</v>
      </c>
      <c r="L2633" s="35">
        <f t="shared" si="1235"/>
        <v>0</v>
      </c>
      <c r="M2633" s="35">
        <v>0</v>
      </c>
    </row>
    <row r="2634" spans="1:13" ht="25.5">
      <c r="A2634" s="59" t="s">
        <v>64</v>
      </c>
      <c r="B2634" s="28" t="s">
        <v>940</v>
      </c>
      <c r="C2634" s="28" t="s">
        <v>148</v>
      </c>
      <c r="D2634" s="28" t="s">
        <v>32</v>
      </c>
      <c r="E2634" s="28" t="s">
        <v>999</v>
      </c>
      <c r="F2634" s="28" t="s">
        <v>65</v>
      </c>
      <c r="G2634" s="35">
        <f>G2635</f>
        <v>80</v>
      </c>
      <c r="H2634" s="35">
        <f t="shared" si="1251"/>
        <v>80</v>
      </c>
      <c r="I2634" s="35">
        <f t="shared" si="1251"/>
        <v>0</v>
      </c>
      <c r="J2634" s="35">
        <f t="shared" si="1251"/>
        <v>0</v>
      </c>
      <c r="K2634" s="35">
        <f t="shared" si="1251"/>
        <v>0</v>
      </c>
      <c r="L2634" s="35">
        <f t="shared" si="1235"/>
        <v>0</v>
      </c>
      <c r="M2634" s="35">
        <v>0</v>
      </c>
    </row>
    <row r="2635" spans="1:13" ht="25.5">
      <c r="A2635" s="59" t="s">
        <v>66</v>
      </c>
      <c r="B2635" s="28" t="s">
        <v>940</v>
      </c>
      <c r="C2635" s="28" t="s">
        <v>148</v>
      </c>
      <c r="D2635" s="28" t="s">
        <v>32</v>
      </c>
      <c r="E2635" s="28" t="s">
        <v>999</v>
      </c>
      <c r="F2635" s="28" t="s">
        <v>67</v>
      </c>
      <c r="G2635" s="35">
        <v>80</v>
      </c>
      <c r="H2635" s="35">
        <v>80</v>
      </c>
      <c r="I2635" s="35">
        <v>0</v>
      </c>
      <c r="J2635" s="35">
        <v>0</v>
      </c>
      <c r="K2635" s="35">
        <v>0</v>
      </c>
      <c r="L2635" s="35">
        <f t="shared" si="1235"/>
        <v>0</v>
      </c>
      <c r="M2635" s="35">
        <v>0</v>
      </c>
    </row>
    <row r="2636" spans="1:13" ht="15.75" customHeight="1">
      <c r="A2636" s="64" t="s">
        <v>0</v>
      </c>
      <c r="B2636" s="65" t="s">
        <v>0</v>
      </c>
      <c r="C2636" s="58" t="s">
        <v>0</v>
      </c>
      <c r="D2636" s="58" t="s">
        <v>0</v>
      </c>
      <c r="E2636" s="58" t="s">
        <v>0</v>
      </c>
      <c r="F2636" s="58" t="s">
        <v>0</v>
      </c>
      <c r="G2636" s="66" t="s">
        <v>0</v>
      </c>
      <c r="H2636" s="66" t="s">
        <v>0</v>
      </c>
      <c r="I2636" s="66" t="s">
        <v>0</v>
      </c>
      <c r="J2636" s="66" t="s">
        <v>0</v>
      </c>
      <c r="K2636" s="66" t="s">
        <v>0</v>
      </c>
      <c r="L2636" s="35"/>
      <c r="M2636" s="35"/>
    </row>
    <row r="2637" spans="1:13" ht="25.5">
      <c r="A2637" s="56" t="s">
        <v>1000</v>
      </c>
      <c r="B2637" s="57" t="s">
        <v>1001</v>
      </c>
      <c r="C2637" s="58" t="s">
        <v>0</v>
      </c>
      <c r="D2637" s="58" t="s">
        <v>0</v>
      </c>
      <c r="E2637" s="58" t="s">
        <v>0</v>
      </c>
      <c r="F2637" s="58" t="s">
        <v>0</v>
      </c>
      <c r="G2637" s="30">
        <f>G2638</f>
        <v>46702.1</v>
      </c>
      <c r="H2637" s="30">
        <f t="shared" ref="H2637:K2640" si="1252">H2638</f>
        <v>46702.059600000001</v>
      </c>
      <c r="I2637" s="30">
        <f t="shared" si="1252"/>
        <v>37382.859600000003</v>
      </c>
      <c r="J2637" s="30">
        <f t="shared" si="1252"/>
        <v>35176.600000000006</v>
      </c>
      <c r="K2637" s="30">
        <f t="shared" si="1252"/>
        <v>34212.060479999993</v>
      </c>
      <c r="L2637" s="30">
        <f t="shared" si="1235"/>
        <v>73.255999356396671</v>
      </c>
      <c r="M2637" s="30">
        <f t="shared" si="1236"/>
        <v>91.518040208994577</v>
      </c>
    </row>
    <row r="2638" spans="1:13">
      <c r="A2638" s="59" t="s">
        <v>16</v>
      </c>
      <c r="B2638" s="28" t="s">
        <v>1001</v>
      </c>
      <c r="C2638" s="28" t="s">
        <v>17</v>
      </c>
      <c r="D2638" s="58" t="s">
        <v>0</v>
      </c>
      <c r="E2638" s="58" t="s">
        <v>0</v>
      </c>
      <c r="F2638" s="58" t="s">
        <v>0</v>
      </c>
      <c r="G2638" s="35">
        <f>G2639</f>
        <v>46702.1</v>
      </c>
      <c r="H2638" s="35">
        <f t="shared" si="1252"/>
        <v>46702.059600000001</v>
      </c>
      <c r="I2638" s="35">
        <f t="shared" si="1252"/>
        <v>37382.859600000003</v>
      </c>
      <c r="J2638" s="35">
        <f t="shared" si="1252"/>
        <v>35176.600000000006</v>
      </c>
      <c r="K2638" s="35">
        <f t="shared" si="1252"/>
        <v>34212.060479999993</v>
      </c>
      <c r="L2638" s="35">
        <f t="shared" si="1235"/>
        <v>73.255999356396671</v>
      </c>
      <c r="M2638" s="35">
        <f t="shared" si="1236"/>
        <v>91.518040208994577</v>
      </c>
    </row>
    <row r="2639" spans="1:13" ht="38.25">
      <c r="A2639" s="59" t="s">
        <v>607</v>
      </c>
      <c r="B2639" s="28" t="s">
        <v>1001</v>
      </c>
      <c r="C2639" s="28" t="s">
        <v>17</v>
      </c>
      <c r="D2639" s="28" t="s">
        <v>32</v>
      </c>
      <c r="E2639" s="58" t="s">
        <v>0</v>
      </c>
      <c r="F2639" s="58" t="s">
        <v>0</v>
      </c>
      <c r="G2639" s="35">
        <f>G2640</f>
        <v>46702.1</v>
      </c>
      <c r="H2639" s="35">
        <f t="shared" si="1252"/>
        <v>46702.059600000001</v>
      </c>
      <c r="I2639" s="35">
        <f t="shared" si="1252"/>
        <v>37382.859600000003</v>
      </c>
      <c r="J2639" s="35">
        <f t="shared" si="1252"/>
        <v>35176.600000000006</v>
      </c>
      <c r="K2639" s="35">
        <f t="shared" si="1252"/>
        <v>34212.060479999993</v>
      </c>
      <c r="L2639" s="35">
        <f t="shared" si="1235"/>
        <v>73.255999356396671</v>
      </c>
      <c r="M2639" s="35">
        <f t="shared" si="1236"/>
        <v>91.518040208994577</v>
      </c>
    </row>
    <row r="2640" spans="1:13" ht="25.5">
      <c r="A2640" s="59" t="s">
        <v>1002</v>
      </c>
      <c r="B2640" s="28" t="s">
        <v>1001</v>
      </c>
      <c r="C2640" s="28" t="s">
        <v>17</v>
      </c>
      <c r="D2640" s="28" t="s">
        <v>32</v>
      </c>
      <c r="E2640" s="28" t="s">
        <v>1003</v>
      </c>
      <c r="F2640" s="58" t="s">
        <v>0</v>
      </c>
      <c r="G2640" s="35">
        <f>G2641</f>
        <v>46702.1</v>
      </c>
      <c r="H2640" s="35">
        <f t="shared" si="1252"/>
        <v>46702.059600000001</v>
      </c>
      <c r="I2640" s="35">
        <f t="shared" si="1252"/>
        <v>37382.859600000003</v>
      </c>
      <c r="J2640" s="35">
        <f t="shared" si="1252"/>
        <v>35176.600000000006</v>
      </c>
      <c r="K2640" s="35">
        <f t="shared" si="1252"/>
        <v>34212.060479999993</v>
      </c>
      <c r="L2640" s="35">
        <f t="shared" si="1235"/>
        <v>73.255999356396671</v>
      </c>
      <c r="M2640" s="35">
        <f t="shared" si="1236"/>
        <v>91.518040208994577</v>
      </c>
    </row>
    <row r="2641" spans="1:13" ht="25.5">
      <c r="A2641" s="59" t="s">
        <v>58</v>
      </c>
      <c r="B2641" s="28" t="s">
        <v>1001</v>
      </c>
      <c r="C2641" s="28" t="s">
        <v>17</v>
      </c>
      <c r="D2641" s="28" t="s">
        <v>32</v>
      </c>
      <c r="E2641" s="28" t="s">
        <v>1004</v>
      </c>
      <c r="F2641" s="58" t="s">
        <v>0</v>
      </c>
      <c r="G2641" s="35">
        <f>G2642+G2644+G2646</f>
        <v>46702.1</v>
      </c>
      <c r="H2641" s="35">
        <f t="shared" ref="H2641:K2641" si="1253">H2642+H2644+H2646</f>
        <v>46702.059600000001</v>
      </c>
      <c r="I2641" s="35">
        <f t="shared" si="1253"/>
        <v>37382.859600000003</v>
      </c>
      <c r="J2641" s="35">
        <f t="shared" si="1253"/>
        <v>35176.600000000006</v>
      </c>
      <c r="K2641" s="35">
        <f t="shared" si="1253"/>
        <v>34212.060479999993</v>
      </c>
      <c r="L2641" s="35">
        <f t="shared" si="1235"/>
        <v>73.255999356396671</v>
      </c>
      <c r="M2641" s="35">
        <f t="shared" si="1236"/>
        <v>91.518040208994577</v>
      </c>
    </row>
    <row r="2642" spans="1:13" ht="63.75">
      <c r="A2642" s="59" t="s">
        <v>60</v>
      </c>
      <c r="B2642" s="28" t="s">
        <v>1001</v>
      </c>
      <c r="C2642" s="28" t="s">
        <v>17</v>
      </c>
      <c r="D2642" s="28" t="s">
        <v>32</v>
      </c>
      <c r="E2642" s="28" t="s">
        <v>1004</v>
      </c>
      <c r="F2642" s="28" t="s">
        <v>61</v>
      </c>
      <c r="G2642" s="35">
        <f>G2643</f>
        <v>43432.800000000003</v>
      </c>
      <c r="H2642" s="35">
        <f t="shared" ref="H2642:K2642" si="1254">H2643</f>
        <v>43432.800000000003</v>
      </c>
      <c r="I2642" s="35">
        <f t="shared" si="1254"/>
        <v>34639.300000000003</v>
      </c>
      <c r="J2642" s="35">
        <f t="shared" si="1254"/>
        <v>33029.300000000003</v>
      </c>
      <c r="K2642" s="35">
        <f t="shared" si="1254"/>
        <v>32148.073229999998</v>
      </c>
      <c r="L2642" s="35">
        <f t="shared" si="1235"/>
        <v>74.017961609659054</v>
      </c>
      <c r="M2642" s="35">
        <f t="shared" si="1236"/>
        <v>92.808091474134855</v>
      </c>
    </row>
    <row r="2643" spans="1:13" ht="25.5">
      <c r="A2643" s="59" t="s">
        <v>62</v>
      </c>
      <c r="B2643" s="28" t="s">
        <v>1001</v>
      </c>
      <c r="C2643" s="28" t="s">
        <v>17</v>
      </c>
      <c r="D2643" s="28" t="s">
        <v>32</v>
      </c>
      <c r="E2643" s="28" t="s">
        <v>1004</v>
      </c>
      <c r="F2643" s="28" t="s">
        <v>63</v>
      </c>
      <c r="G2643" s="35">
        <v>43432.800000000003</v>
      </c>
      <c r="H2643" s="35">
        <f>32044.3+3300+8088.5</f>
        <v>43432.800000000003</v>
      </c>
      <c r="I2643" s="35">
        <f>24544.3+3120+6975</f>
        <v>34639.300000000003</v>
      </c>
      <c r="J2643" s="35">
        <f>24544.3+1510+6975</f>
        <v>33029.300000000003</v>
      </c>
      <c r="K2643" s="35">
        <f>23900.18872+1379.51282+6868.37169</f>
        <v>32148.073229999998</v>
      </c>
      <c r="L2643" s="35">
        <f t="shared" si="1235"/>
        <v>74.017961609659054</v>
      </c>
      <c r="M2643" s="35">
        <f t="shared" si="1236"/>
        <v>92.808091474134855</v>
      </c>
    </row>
    <row r="2644" spans="1:13" ht="25.5">
      <c r="A2644" s="59" t="s">
        <v>64</v>
      </c>
      <c r="B2644" s="28" t="s">
        <v>1001</v>
      </c>
      <c r="C2644" s="28" t="s">
        <v>17</v>
      </c>
      <c r="D2644" s="28" t="s">
        <v>32</v>
      </c>
      <c r="E2644" s="28" t="s">
        <v>1004</v>
      </c>
      <c r="F2644" s="28" t="s">
        <v>65</v>
      </c>
      <c r="G2644" s="35">
        <f>G2645</f>
        <v>3019.6</v>
      </c>
      <c r="H2644" s="35">
        <f t="shared" ref="H2644:K2644" si="1255">H2645</f>
        <v>2989.5596</v>
      </c>
      <c r="I2644" s="35">
        <f t="shared" si="1255"/>
        <v>2466.5596</v>
      </c>
      <c r="J2644" s="35">
        <f t="shared" si="1255"/>
        <v>1873</v>
      </c>
      <c r="K2644" s="35">
        <f t="shared" si="1255"/>
        <v>1808.89327</v>
      </c>
      <c r="L2644" s="35">
        <f t="shared" si="1235"/>
        <v>60.507014812482751</v>
      </c>
      <c r="M2644" s="35">
        <f t="shared" si="1236"/>
        <v>73.336694154886828</v>
      </c>
    </row>
    <row r="2645" spans="1:13" ht="25.5">
      <c r="A2645" s="59" t="s">
        <v>66</v>
      </c>
      <c r="B2645" s="28" t="s">
        <v>1001</v>
      </c>
      <c r="C2645" s="28" t="s">
        <v>17</v>
      </c>
      <c r="D2645" s="28" t="s">
        <v>32</v>
      </c>
      <c r="E2645" s="28" t="s">
        <v>1004</v>
      </c>
      <c r="F2645" s="28" t="s">
        <v>67</v>
      </c>
      <c r="G2645" s="35">
        <v>3019.6</v>
      </c>
      <c r="H2645" s="35">
        <v>2989.5596</v>
      </c>
      <c r="I2645" s="35">
        <v>2466.5596</v>
      </c>
      <c r="J2645" s="35">
        <v>1873</v>
      </c>
      <c r="K2645" s="35">
        <v>1808.89327</v>
      </c>
      <c r="L2645" s="35">
        <f t="shared" si="1235"/>
        <v>60.507014812482751</v>
      </c>
      <c r="M2645" s="35">
        <f t="shared" si="1236"/>
        <v>73.336694154886828</v>
      </c>
    </row>
    <row r="2646" spans="1:13">
      <c r="A2646" s="59" t="s">
        <v>72</v>
      </c>
      <c r="B2646" s="28" t="s">
        <v>1001</v>
      </c>
      <c r="C2646" s="28" t="s">
        <v>17</v>
      </c>
      <c r="D2646" s="28" t="s">
        <v>32</v>
      </c>
      <c r="E2646" s="28" t="s">
        <v>1004</v>
      </c>
      <c r="F2646" s="28" t="s">
        <v>73</v>
      </c>
      <c r="G2646" s="35">
        <f>G2647+G2648</f>
        <v>249.7</v>
      </c>
      <c r="H2646" s="35">
        <f t="shared" ref="H2646:K2646" si="1256">H2647+H2648</f>
        <v>279.7</v>
      </c>
      <c r="I2646" s="35">
        <f t="shared" si="1256"/>
        <v>277</v>
      </c>
      <c r="J2646" s="35">
        <f t="shared" si="1256"/>
        <v>274.3</v>
      </c>
      <c r="K2646" s="35">
        <f t="shared" si="1256"/>
        <v>255.09397999999999</v>
      </c>
      <c r="L2646" s="35">
        <f t="shared" si="1235"/>
        <v>91.202710046478359</v>
      </c>
      <c r="M2646" s="35">
        <f t="shared" si="1236"/>
        <v>92.091689530685912</v>
      </c>
    </row>
    <row r="2647" spans="1:13">
      <c r="A2647" s="59" t="s">
        <v>84</v>
      </c>
      <c r="B2647" s="28" t="s">
        <v>1001</v>
      </c>
      <c r="C2647" s="28" t="s">
        <v>17</v>
      </c>
      <c r="D2647" s="28" t="s">
        <v>32</v>
      </c>
      <c r="E2647" s="28" t="s">
        <v>1004</v>
      </c>
      <c r="F2647" s="28" t="s">
        <v>85</v>
      </c>
      <c r="G2647" s="35">
        <v>200</v>
      </c>
      <c r="H2647" s="35">
        <v>230</v>
      </c>
      <c r="I2647" s="35">
        <v>230</v>
      </c>
      <c r="J2647" s="35">
        <v>227.3</v>
      </c>
      <c r="K2647" s="35">
        <v>227.26998</v>
      </c>
      <c r="L2647" s="35">
        <f t="shared" si="1235"/>
        <v>98.813034782608696</v>
      </c>
      <c r="M2647" s="35">
        <f t="shared" si="1236"/>
        <v>98.813034782608696</v>
      </c>
    </row>
    <row r="2648" spans="1:13">
      <c r="A2648" s="59" t="s">
        <v>74</v>
      </c>
      <c r="B2648" s="28" t="s">
        <v>1001</v>
      </c>
      <c r="C2648" s="28" t="s">
        <v>17</v>
      </c>
      <c r="D2648" s="28" t="s">
        <v>32</v>
      </c>
      <c r="E2648" s="28" t="s">
        <v>1004</v>
      </c>
      <c r="F2648" s="28" t="s">
        <v>75</v>
      </c>
      <c r="G2648" s="35">
        <v>49.7</v>
      </c>
      <c r="H2648" s="35">
        <v>49.7</v>
      </c>
      <c r="I2648" s="35">
        <v>47</v>
      </c>
      <c r="J2648" s="35">
        <v>47</v>
      </c>
      <c r="K2648" s="35">
        <f>25.304+2.52</f>
        <v>27.823999999999998</v>
      </c>
      <c r="L2648" s="35">
        <f t="shared" si="1235"/>
        <v>55.983903420523127</v>
      </c>
      <c r="M2648" s="35">
        <f t="shared" si="1236"/>
        <v>59.199999999999996</v>
      </c>
    </row>
    <row r="2649" spans="1:13" ht="15" customHeight="1">
      <c r="A2649" s="64" t="s">
        <v>0</v>
      </c>
      <c r="B2649" s="65" t="s">
        <v>0</v>
      </c>
      <c r="C2649" s="58" t="s">
        <v>0</v>
      </c>
      <c r="D2649" s="58" t="s">
        <v>0</v>
      </c>
      <c r="E2649" s="58" t="s">
        <v>0</v>
      </c>
      <c r="F2649" s="58" t="s">
        <v>0</v>
      </c>
      <c r="G2649" s="66" t="s">
        <v>0</v>
      </c>
      <c r="H2649" s="66" t="s">
        <v>0</v>
      </c>
      <c r="I2649" s="66" t="s">
        <v>0</v>
      </c>
      <c r="J2649" s="66" t="s">
        <v>0</v>
      </c>
      <c r="K2649" s="66" t="s">
        <v>0</v>
      </c>
      <c r="L2649" s="35"/>
      <c r="M2649" s="35"/>
    </row>
    <row r="2650" spans="1:13" ht="25.5">
      <c r="A2650" s="56" t="s">
        <v>1005</v>
      </c>
      <c r="B2650" s="57" t="s">
        <v>1006</v>
      </c>
      <c r="C2650" s="58" t="s">
        <v>0</v>
      </c>
      <c r="D2650" s="58" t="s">
        <v>0</v>
      </c>
      <c r="E2650" s="58" t="s">
        <v>0</v>
      </c>
      <c r="F2650" s="58" t="s">
        <v>0</v>
      </c>
      <c r="G2650" s="30">
        <f>G2651</f>
        <v>47980.2</v>
      </c>
      <c r="H2650" s="30">
        <f t="shared" ref="H2650:K2654" si="1257">H2651</f>
        <v>47980.2</v>
      </c>
      <c r="I2650" s="30">
        <f t="shared" si="1257"/>
        <v>36983.699999999997</v>
      </c>
      <c r="J2650" s="30">
        <f t="shared" si="1257"/>
        <v>34095.863669999999</v>
      </c>
      <c r="K2650" s="30">
        <f t="shared" si="1257"/>
        <v>32684.752530000002</v>
      </c>
      <c r="L2650" s="30">
        <f t="shared" si="1235"/>
        <v>68.121334487976299</v>
      </c>
      <c r="M2650" s="30">
        <f t="shared" si="1236"/>
        <v>88.376102255858669</v>
      </c>
    </row>
    <row r="2651" spans="1:13">
      <c r="A2651" s="59" t="s">
        <v>30</v>
      </c>
      <c r="B2651" s="28" t="s">
        <v>1006</v>
      </c>
      <c r="C2651" s="28" t="s">
        <v>19</v>
      </c>
      <c r="D2651" s="58" t="s">
        <v>0</v>
      </c>
      <c r="E2651" s="58" t="s">
        <v>0</v>
      </c>
      <c r="F2651" s="58" t="s">
        <v>0</v>
      </c>
      <c r="G2651" s="35">
        <f>G2652</f>
        <v>47980.2</v>
      </c>
      <c r="H2651" s="35">
        <f t="shared" si="1257"/>
        <v>47980.2</v>
      </c>
      <c r="I2651" s="35">
        <f t="shared" si="1257"/>
        <v>36983.699999999997</v>
      </c>
      <c r="J2651" s="35">
        <f t="shared" si="1257"/>
        <v>34095.863669999999</v>
      </c>
      <c r="K2651" s="35">
        <f t="shared" si="1257"/>
        <v>32684.752530000002</v>
      </c>
      <c r="L2651" s="35">
        <f t="shared" si="1235"/>
        <v>68.121334487976299</v>
      </c>
      <c r="M2651" s="35">
        <f t="shared" si="1236"/>
        <v>88.376102255858669</v>
      </c>
    </row>
    <row r="2652" spans="1:13">
      <c r="A2652" s="59" t="s">
        <v>230</v>
      </c>
      <c r="B2652" s="28" t="s">
        <v>1006</v>
      </c>
      <c r="C2652" s="28" t="s">
        <v>19</v>
      </c>
      <c r="D2652" s="28" t="s">
        <v>17</v>
      </c>
      <c r="E2652" s="58" t="s">
        <v>0</v>
      </c>
      <c r="F2652" s="58" t="s">
        <v>0</v>
      </c>
      <c r="G2652" s="35">
        <f>G2653</f>
        <v>47980.2</v>
      </c>
      <c r="H2652" s="35">
        <f t="shared" si="1257"/>
        <v>47980.2</v>
      </c>
      <c r="I2652" s="35">
        <f t="shared" si="1257"/>
        <v>36983.699999999997</v>
      </c>
      <c r="J2652" s="35">
        <f t="shared" si="1257"/>
        <v>34095.863669999999</v>
      </c>
      <c r="K2652" s="35">
        <f t="shared" si="1257"/>
        <v>32684.752530000002</v>
      </c>
      <c r="L2652" s="35">
        <f t="shared" si="1235"/>
        <v>68.121334487976299</v>
      </c>
      <c r="M2652" s="35">
        <f t="shared" si="1236"/>
        <v>88.376102255858669</v>
      </c>
    </row>
    <row r="2653" spans="1:13" ht="51">
      <c r="A2653" s="59" t="s">
        <v>713</v>
      </c>
      <c r="B2653" s="28" t="s">
        <v>1006</v>
      </c>
      <c r="C2653" s="28" t="s">
        <v>19</v>
      </c>
      <c r="D2653" s="28" t="s">
        <v>17</v>
      </c>
      <c r="E2653" s="28" t="s">
        <v>714</v>
      </c>
      <c r="F2653" s="58" t="s">
        <v>0</v>
      </c>
      <c r="G2653" s="35">
        <f>G2654</f>
        <v>47980.2</v>
      </c>
      <c r="H2653" s="35">
        <f t="shared" si="1257"/>
        <v>47980.2</v>
      </c>
      <c r="I2653" s="35">
        <f t="shared" si="1257"/>
        <v>36983.699999999997</v>
      </c>
      <c r="J2653" s="35">
        <f t="shared" si="1257"/>
        <v>34095.863669999999</v>
      </c>
      <c r="K2653" s="35">
        <f t="shared" si="1257"/>
        <v>32684.752530000002</v>
      </c>
      <c r="L2653" s="35">
        <f t="shared" si="1235"/>
        <v>68.121334487976299</v>
      </c>
      <c r="M2653" s="35">
        <f t="shared" si="1236"/>
        <v>88.376102255858669</v>
      </c>
    </row>
    <row r="2654" spans="1:13" ht="38.25">
      <c r="A2654" s="59" t="s">
        <v>1007</v>
      </c>
      <c r="B2654" s="28" t="s">
        <v>1006</v>
      </c>
      <c r="C2654" s="28" t="s">
        <v>19</v>
      </c>
      <c r="D2654" s="28" t="s">
        <v>17</v>
      </c>
      <c r="E2654" s="28" t="s">
        <v>1008</v>
      </c>
      <c r="F2654" s="58" t="s">
        <v>0</v>
      </c>
      <c r="G2654" s="35">
        <f>G2655</f>
        <v>47980.2</v>
      </c>
      <c r="H2654" s="35">
        <f t="shared" si="1257"/>
        <v>47980.2</v>
      </c>
      <c r="I2654" s="35">
        <f t="shared" si="1257"/>
        <v>36983.699999999997</v>
      </c>
      <c r="J2654" s="35">
        <f t="shared" si="1257"/>
        <v>34095.863669999999</v>
      </c>
      <c r="K2654" s="35">
        <f t="shared" si="1257"/>
        <v>32684.752530000002</v>
      </c>
      <c r="L2654" s="35">
        <f t="shared" si="1235"/>
        <v>68.121334487976299</v>
      </c>
      <c r="M2654" s="35">
        <f t="shared" si="1236"/>
        <v>88.376102255858669</v>
      </c>
    </row>
    <row r="2655" spans="1:13" ht="25.5">
      <c r="A2655" s="59" t="s">
        <v>58</v>
      </c>
      <c r="B2655" s="28" t="s">
        <v>1006</v>
      </c>
      <c r="C2655" s="28" t="s">
        <v>19</v>
      </c>
      <c r="D2655" s="28" t="s">
        <v>17</v>
      </c>
      <c r="E2655" s="28" t="s">
        <v>1009</v>
      </c>
      <c r="F2655" s="58" t="s">
        <v>0</v>
      </c>
      <c r="G2655" s="35">
        <f>G2656+G2658+G2660</f>
        <v>47980.2</v>
      </c>
      <c r="H2655" s="35">
        <f t="shared" ref="H2655:K2655" si="1258">H2656+H2658+H2660</f>
        <v>47980.2</v>
      </c>
      <c r="I2655" s="35">
        <f t="shared" si="1258"/>
        <v>36983.699999999997</v>
      </c>
      <c r="J2655" s="35">
        <f t="shared" si="1258"/>
        <v>34095.863669999999</v>
      </c>
      <c r="K2655" s="35">
        <f t="shared" si="1258"/>
        <v>32684.752530000002</v>
      </c>
      <c r="L2655" s="35">
        <f t="shared" si="1235"/>
        <v>68.121334487976299</v>
      </c>
      <c r="M2655" s="35">
        <f t="shared" si="1236"/>
        <v>88.376102255858669</v>
      </c>
    </row>
    <row r="2656" spans="1:13" ht="63.75">
      <c r="A2656" s="59" t="s">
        <v>60</v>
      </c>
      <c r="B2656" s="28" t="s">
        <v>1006</v>
      </c>
      <c r="C2656" s="28" t="s">
        <v>19</v>
      </c>
      <c r="D2656" s="28" t="s">
        <v>17</v>
      </c>
      <c r="E2656" s="28" t="s">
        <v>1009</v>
      </c>
      <c r="F2656" s="28" t="s">
        <v>61</v>
      </c>
      <c r="G2656" s="35">
        <f>G2657</f>
        <v>46285.5</v>
      </c>
      <c r="H2656" s="35">
        <f t="shared" ref="H2656:K2656" si="1259">H2657</f>
        <v>46285.5</v>
      </c>
      <c r="I2656" s="35">
        <f t="shared" si="1259"/>
        <v>35675</v>
      </c>
      <c r="J2656" s="35">
        <f t="shared" si="1259"/>
        <v>32825</v>
      </c>
      <c r="K2656" s="35">
        <f t="shared" si="1259"/>
        <v>31634.58049</v>
      </c>
      <c r="L2656" s="35">
        <f t="shared" si="1235"/>
        <v>68.346632293050732</v>
      </c>
      <c r="M2656" s="35">
        <f t="shared" si="1236"/>
        <v>88.674367175893494</v>
      </c>
    </row>
    <row r="2657" spans="1:13" ht="25.5">
      <c r="A2657" s="59" t="s">
        <v>62</v>
      </c>
      <c r="B2657" s="28" t="s">
        <v>1006</v>
      </c>
      <c r="C2657" s="28" t="s">
        <v>19</v>
      </c>
      <c r="D2657" s="28" t="s">
        <v>17</v>
      </c>
      <c r="E2657" s="28" t="s">
        <v>1009</v>
      </c>
      <c r="F2657" s="28" t="s">
        <v>63</v>
      </c>
      <c r="G2657" s="35">
        <v>46285.5</v>
      </c>
      <c r="H2657" s="35">
        <f>34240+1999+10046.5</f>
        <v>46285.5</v>
      </c>
      <c r="I2657" s="35">
        <f>26200+1685+7790</f>
        <v>35675</v>
      </c>
      <c r="J2657" s="35">
        <f>24200+1685+6940</f>
        <v>32825</v>
      </c>
      <c r="K2657" s="35">
        <f>23222.51034+1652.38974+6759.68041</f>
        <v>31634.58049</v>
      </c>
      <c r="L2657" s="35">
        <f t="shared" si="1235"/>
        <v>68.346632293050732</v>
      </c>
      <c r="M2657" s="35">
        <f t="shared" si="1236"/>
        <v>88.674367175893494</v>
      </c>
    </row>
    <row r="2658" spans="1:13" ht="25.5">
      <c r="A2658" s="59" t="s">
        <v>64</v>
      </c>
      <c r="B2658" s="28" t="s">
        <v>1006</v>
      </c>
      <c r="C2658" s="28" t="s">
        <v>19</v>
      </c>
      <c r="D2658" s="28" t="s">
        <v>17</v>
      </c>
      <c r="E2658" s="28" t="s">
        <v>1009</v>
      </c>
      <c r="F2658" s="28" t="s">
        <v>65</v>
      </c>
      <c r="G2658" s="35">
        <f>G2659</f>
        <v>1633.7</v>
      </c>
      <c r="H2658" s="35">
        <f t="shared" ref="H2658:K2658" si="1260">H2659</f>
        <v>1633.7</v>
      </c>
      <c r="I2658" s="35">
        <f t="shared" si="1260"/>
        <v>1263.7</v>
      </c>
      <c r="J2658" s="35">
        <f t="shared" si="1260"/>
        <v>1263.7</v>
      </c>
      <c r="K2658" s="35">
        <f t="shared" si="1260"/>
        <v>1043.00837</v>
      </c>
      <c r="L2658" s="35">
        <f t="shared" si="1235"/>
        <v>63.843323131541894</v>
      </c>
      <c r="M2658" s="35">
        <f t="shared" si="1236"/>
        <v>82.536074226477808</v>
      </c>
    </row>
    <row r="2659" spans="1:13" ht="25.5">
      <c r="A2659" s="59" t="s">
        <v>66</v>
      </c>
      <c r="B2659" s="28" t="s">
        <v>1006</v>
      </c>
      <c r="C2659" s="28" t="s">
        <v>19</v>
      </c>
      <c r="D2659" s="28" t="s">
        <v>17</v>
      </c>
      <c r="E2659" s="28" t="s">
        <v>1009</v>
      </c>
      <c r="F2659" s="28" t="s">
        <v>67</v>
      </c>
      <c r="G2659" s="35">
        <v>1633.7</v>
      </c>
      <c r="H2659" s="35">
        <v>1633.7</v>
      </c>
      <c r="I2659" s="35">
        <v>1263.7</v>
      </c>
      <c r="J2659" s="35">
        <v>1263.7</v>
      </c>
      <c r="K2659" s="35">
        <v>1043.00837</v>
      </c>
      <c r="L2659" s="35">
        <f t="shared" ref="L2659:L2722" si="1261">K2659/H2659*100</f>
        <v>63.843323131541894</v>
      </c>
      <c r="M2659" s="35">
        <f t="shared" ref="M2659:M2722" si="1262">K2659/I2659*100</f>
        <v>82.536074226477808</v>
      </c>
    </row>
    <row r="2660" spans="1:13">
      <c r="A2660" s="59" t="s">
        <v>72</v>
      </c>
      <c r="B2660" s="28" t="s">
        <v>1006</v>
      </c>
      <c r="C2660" s="28" t="s">
        <v>19</v>
      </c>
      <c r="D2660" s="28" t="s">
        <v>17</v>
      </c>
      <c r="E2660" s="28" t="s">
        <v>1009</v>
      </c>
      <c r="F2660" s="28" t="s">
        <v>73</v>
      </c>
      <c r="G2660" s="35">
        <f>G2662</f>
        <v>61</v>
      </c>
      <c r="H2660" s="35">
        <f>H2661+H2662</f>
        <v>61</v>
      </c>
      <c r="I2660" s="35">
        <f t="shared" ref="I2660:K2660" si="1263">I2661+I2662</f>
        <v>45</v>
      </c>
      <c r="J2660" s="35">
        <f t="shared" si="1263"/>
        <v>7.1636699999999998</v>
      </c>
      <c r="K2660" s="35">
        <f t="shared" si="1263"/>
        <v>7.1636699999999998</v>
      </c>
      <c r="L2660" s="35">
        <f t="shared" si="1261"/>
        <v>11.74372131147541</v>
      </c>
      <c r="M2660" s="35">
        <f t="shared" si="1262"/>
        <v>15.919266666666665</v>
      </c>
    </row>
    <row r="2661" spans="1:13">
      <c r="A2661" s="59" t="s">
        <v>84</v>
      </c>
      <c r="B2661" s="28" t="s">
        <v>1006</v>
      </c>
      <c r="C2661" s="28" t="s">
        <v>19</v>
      </c>
      <c r="D2661" s="28" t="s">
        <v>17</v>
      </c>
      <c r="E2661" s="28" t="s">
        <v>1009</v>
      </c>
      <c r="F2661" s="28">
        <v>830</v>
      </c>
      <c r="G2661" s="35"/>
      <c r="H2661" s="35">
        <v>3</v>
      </c>
      <c r="I2661" s="35">
        <v>3</v>
      </c>
      <c r="J2661" s="35">
        <v>3</v>
      </c>
      <c r="K2661" s="35">
        <v>3</v>
      </c>
      <c r="L2661" s="35">
        <f t="shared" si="1261"/>
        <v>100</v>
      </c>
      <c r="M2661" s="35">
        <f t="shared" si="1262"/>
        <v>100</v>
      </c>
    </row>
    <row r="2662" spans="1:13">
      <c r="A2662" s="59" t="s">
        <v>74</v>
      </c>
      <c r="B2662" s="28" t="s">
        <v>1006</v>
      </c>
      <c r="C2662" s="28" t="s">
        <v>19</v>
      </c>
      <c r="D2662" s="28" t="s">
        <v>17</v>
      </c>
      <c r="E2662" s="28" t="s">
        <v>1009</v>
      </c>
      <c r="F2662" s="28" t="s">
        <v>75</v>
      </c>
      <c r="G2662" s="35">
        <v>61</v>
      </c>
      <c r="H2662" s="35">
        <f>1+52.83633+4.16367</f>
        <v>58</v>
      </c>
      <c r="I2662" s="35">
        <f>37.83633+4.16367</f>
        <v>42</v>
      </c>
      <c r="J2662" s="35">
        <v>4.1636699999999998</v>
      </c>
      <c r="K2662" s="35">
        <v>4.1636699999999998</v>
      </c>
      <c r="L2662" s="35">
        <f t="shared" si="1261"/>
        <v>7.1787413793103436</v>
      </c>
      <c r="M2662" s="35">
        <f t="shared" si="1262"/>
        <v>9.9135000000000009</v>
      </c>
    </row>
    <row r="2663" spans="1:13" ht="13.5" customHeight="1">
      <c r="A2663" s="64" t="s">
        <v>0</v>
      </c>
      <c r="B2663" s="65" t="s">
        <v>0</v>
      </c>
      <c r="C2663" s="58" t="s">
        <v>0</v>
      </c>
      <c r="D2663" s="58" t="s">
        <v>0</v>
      </c>
      <c r="E2663" s="58" t="s">
        <v>0</v>
      </c>
      <c r="F2663" s="58" t="s">
        <v>0</v>
      </c>
      <c r="G2663" s="66" t="s">
        <v>0</v>
      </c>
      <c r="H2663" s="66" t="s">
        <v>0</v>
      </c>
      <c r="I2663" s="66" t="s">
        <v>0</v>
      </c>
      <c r="J2663" s="66" t="s">
        <v>0</v>
      </c>
      <c r="K2663" s="66" t="s">
        <v>0</v>
      </c>
      <c r="L2663" s="35"/>
      <c r="M2663" s="35"/>
    </row>
    <row r="2664" spans="1:13" ht="25.5">
      <c r="A2664" s="56" t="s">
        <v>1010</v>
      </c>
      <c r="B2664" s="57" t="s">
        <v>1011</v>
      </c>
      <c r="C2664" s="58" t="s">
        <v>0</v>
      </c>
      <c r="D2664" s="58" t="s">
        <v>0</v>
      </c>
      <c r="E2664" s="58" t="s">
        <v>0</v>
      </c>
      <c r="F2664" s="58" t="s">
        <v>0</v>
      </c>
      <c r="G2664" s="30">
        <f>G2665</f>
        <v>43381</v>
      </c>
      <c r="H2664" s="30">
        <f t="shared" ref="H2664:K2666" si="1264">H2665</f>
        <v>43381</v>
      </c>
      <c r="I2664" s="30">
        <f t="shared" si="1264"/>
        <v>33573.699999999997</v>
      </c>
      <c r="J2664" s="30">
        <f t="shared" si="1264"/>
        <v>29502.3</v>
      </c>
      <c r="K2664" s="30">
        <f t="shared" si="1264"/>
        <v>26924.720090000003</v>
      </c>
      <c r="L2664" s="30">
        <f t="shared" si="1261"/>
        <v>62.065697171572808</v>
      </c>
      <c r="M2664" s="30">
        <f t="shared" si="1262"/>
        <v>80.195867866812435</v>
      </c>
    </row>
    <row r="2665" spans="1:13">
      <c r="A2665" s="59" t="s">
        <v>16</v>
      </c>
      <c r="B2665" s="28" t="s">
        <v>1011</v>
      </c>
      <c r="C2665" s="28" t="s">
        <v>17</v>
      </c>
      <c r="D2665" s="58" t="s">
        <v>0</v>
      </c>
      <c r="E2665" s="58" t="s">
        <v>0</v>
      </c>
      <c r="F2665" s="58" t="s">
        <v>0</v>
      </c>
      <c r="G2665" s="35">
        <f>G2666</f>
        <v>43381</v>
      </c>
      <c r="H2665" s="35">
        <f t="shared" si="1264"/>
        <v>43381</v>
      </c>
      <c r="I2665" s="35">
        <f t="shared" si="1264"/>
        <v>33573.699999999997</v>
      </c>
      <c r="J2665" s="35">
        <f t="shared" si="1264"/>
        <v>29502.3</v>
      </c>
      <c r="K2665" s="35">
        <f t="shared" si="1264"/>
        <v>26924.720090000003</v>
      </c>
      <c r="L2665" s="35">
        <f t="shared" si="1261"/>
        <v>62.065697171572808</v>
      </c>
      <c r="M2665" s="35">
        <f t="shared" si="1262"/>
        <v>80.195867866812435</v>
      </c>
    </row>
    <row r="2666" spans="1:13">
      <c r="A2666" s="59" t="s">
        <v>1012</v>
      </c>
      <c r="B2666" s="28" t="s">
        <v>1011</v>
      </c>
      <c r="C2666" s="28" t="s">
        <v>17</v>
      </c>
      <c r="D2666" s="28" t="s">
        <v>110</v>
      </c>
      <c r="E2666" s="58" t="s">
        <v>0</v>
      </c>
      <c r="F2666" s="58" t="s">
        <v>0</v>
      </c>
      <c r="G2666" s="35">
        <f>G2667</f>
        <v>43381</v>
      </c>
      <c r="H2666" s="35">
        <f t="shared" si="1264"/>
        <v>43381</v>
      </c>
      <c r="I2666" s="35">
        <f t="shared" si="1264"/>
        <v>33573.699999999997</v>
      </c>
      <c r="J2666" s="35">
        <f t="shared" si="1264"/>
        <v>29502.3</v>
      </c>
      <c r="K2666" s="35">
        <f t="shared" si="1264"/>
        <v>26924.720090000003</v>
      </c>
      <c r="L2666" s="35">
        <f t="shared" si="1261"/>
        <v>62.065697171572808</v>
      </c>
      <c r="M2666" s="35">
        <f t="shared" si="1262"/>
        <v>80.195867866812435</v>
      </c>
    </row>
    <row r="2667" spans="1:13" ht="25.5">
      <c r="A2667" s="59" t="s">
        <v>1013</v>
      </c>
      <c r="B2667" s="28" t="s">
        <v>1011</v>
      </c>
      <c r="C2667" s="28" t="s">
        <v>17</v>
      </c>
      <c r="D2667" s="28" t="s">
        <v>110</v>
      </c>
      <c r="E2667" s="28" t="s">
        <v>1014</v>
      </c>
      <c r="F2667" s="58" t="s">
        <v>0</v>
      </c>
      <c r="G2667" s="35">
        <f>G2668+G2672+G2676+G2680</f>
        <v>43381</v>
      </c>
      <c r="H2667" s="35">
        <f t="shared" ref="H2667:J2667" si="1265">H2668+H2672+H2676+H2680</f>
        <v>43381</v>
      </c>
      <c r="I2667" s="35">
        <f t="shared" si="1265"/>
        <v>33573.699999999997</v>
      </c>
      <c r="J2667" s="35">
        <f t="shared" si="1265"/>
        <v>29502.3</v>
      </c>
      <c r="K2667" s="35">
        <f t="shared" ref="K2667" si="1266">K2668+K2672+K2676+K2680</f>
        <v>26924.720090000003</v>
      </c>
      <c r="L2667" s="35">
        <f t="shared" si="1261"/>
        <v>62.065697171572808</v>
      </c>
      <c r="M2667" s="35">
        <f t="shared" si="1262"/>
        <v>80.195867866812435</v>
      </c>
    </row>
    <row r="2668" spans="1:13" ht="25.5">
      <c r="A2668" s="59" t="s">
        <v>1015</v>
      </c>
      <c r="B2668" s="28" t="s">
        <v>1011</v>
      </c>
      <c r="C2668" s="28" t="s">
        <v>17</v>
      </c>
      <c r="D2668" s="28" t="s">
        <v>110</v>
      </c>
      <c r="E2668" s="28" t="s">
        <v>1016</v>
      </c>
      <c r="F2668" s="58" t="s">
        <v>0</v>
      </c>
      <c r="G2668" s="35">
        <f>G2669</f>
        <v>8682.6</v>
      </c>
      <c r="H2668" s="35">
        <f t="shared" ref="H2668:K2670" si="1267">H2669</f>
        <v>8682.6</v>
      </c>
      <c r="I2668" s="35">
        <f t="shared" si="1267"/>
        <v>6568</v>
      </c>
      <c r="J2668" s="35">
        <f t="shared" si="1267"/>
        <v>6568</v>
      </c>
      <c r="K2668" s="35">
        <f t="shared" si="1267"/>
        <v>5946.57035</v>
      </c>
      <c r="L2668" s="35">
        <f t="shared" si="1261"/>
        <v>68.488360053440218</v>
      </c>
      <c r="M2668" s="35">
        <f t="shared" si="1262"/>
        <v>90.538525426309377</v>
      </c>
    </row>
    <row r="2669" spans="1:13" ht="25.5">
      <c r="A2669" s="59" t="s">
        <v>58</v>
      </c>
      <c r="B2669" s="28" t="s">
        <v>1011</v>
      </c>
      <c r="C2669" s="28" t="s">
        <v>17</v>
      </c>
      <c r="D2669" s="28" t="s">
        <v>110</v>
      </c>
      <c r="E2669" s="28" t="s">
        <v>1017</v>
      </c>
      <c r="F2669" s="58" t="s">
        <v>0</v>
      </c>
      <c r="G2669" s="35">
        <f>G2670</f>
        <v>8682.6</v>
      </c>
      <c r="H2669" s="35">
        <f t="shared" si="1267"/>
        <v>8682.6</v>
      </c>
      <c r="I2669" s="35">
        <f t="shared" si="1267"/>
        <v>6568</v>
      </c>
      <c r="J2669" s="35">
        <f t="shared" si="1267"/>
        <v>6568</v>
      </c>
      <c r="K2669" s="35">
        <f t="shared" si="1267"/>
        <v>5946.57035</v>
      </c>
      <c r="L2669" s="35">
        <f t="shared" si="1261"/>
        <v>68.488360053440218</v>
      </c>
      <c r="M2669" s="35">
        <f t="shared" si="1262"/>
        <v>90.538525426309377</v>
      </c>
    </row>
    <row r="2670" spans="1:13" ht="63.75">
      <c r="A2670" s="59" t="s">
        <v>60</v>
      </c>
      <c r="B2670" s="28" t="s">
        <v>1011</v>
      </c>
      <c r="C2670" s="28" t="s">
        <v>17</v>
      </c>
      <c r="D2670" s="28" t="s">
        <v>110</v>
      </c>
      <c r="E2670" s="28" t="s">
        <v>1017</v>
      </c>
      <c r="F2670" s="28" t="s">
        <v>61</v>
      </c>
      <c r="G2670" s="35">
        <f>G2671</f>
        <v>8682.6</v>
      </c>
      <c r="H2670" s="35">
        <f t="shared" si="1267"/>
        <v>8682.6</v>
      </c>
      <c r="I2670" s="35">
        <f t="shared" si="1267"/>
        <v>6568</v>
      </c>
      <c r="J2670" s="35">
        <f t="shared" si="1267"/>
        <v>6568</v>
      </c>
      <c r="K2670" s="35">
        <f t="shared" si="1267"/>
        <v>5946.57035</v>
      </c>
      <c r="L2670" s="35">
        <f t="shared" si="1261"/>
        <v>68.488360053440218</v>
      </c>
      <c r="M2670" s="35">
        <f t="shared" si="1262"/>
        <v>90.538525426309377</v>
      </c>
    </row>
    <row r="2671" spans="1:13" ht="25.5">
      <c r="A2671" s="59" t="s">
        <v>62</v>
      </c>
      <c r="B2671" s="28" t="s">
        <v>1011</v>
      </c>
      <c r="C2671" s="28" t="s">
        <v>17</v>
      </c>
      <c r="D2671" s="28" t="s">
        <v>110</v>
      </c>
      <c r="E2671" s="28" t="s">
        <v>1017</v>
      </c>
      <c r="F2671" s="28" t="s">
        <v>63</v>
      </c>
      <c r="G2671" s="35">
        <v>8682.6</v>
      </c>
      <c r="H2671" s="35">
        <f>8682.6</f>
        <v>8682.6</v>
      </c>
      <c r="I2671" s="35">
        <v>6568</v>
      </c>
      <c r="J2671" s="35">
        <v>6568</v>
      </c>
      <c r="K2671" s="35">
        <v>5946.57035</v>
      </c>
      <c r="L2671" s="35">
        <f t="shared" si="1261"/>
        <v>68.488360053440218</v>
      </c>
      <c r="M2671" s="35">
        <f t="shared" si="1262"/>
        <v>90.538525426309377</v>
      </c>
    </row>
    <row r="2672" spans="1:13" ht="51">
      <c r="A2672" s="59" t="s">
        <v>1018</v>
      </c>
      <c r="B2672" s="28" t="s">
        <v>1011</v>
      </c>
      <c r="C2672" s="28" t="s">
        <v>17</v>
      </c>
      <c r="D2672" s="28" t="s">
        <v>110</v>
      </c>
      <c r="E2672" s="28" t="s">
        <v>1019</v>
      </c>
      <c r="F2672" s="58" t="s">
        <v>0</v>
      </c>
      <c r="G2672" s="35">
        <f>G2673</f>
        <v>88</v>
      </c>
      <c r="H2672" s="35">
        <f t="shared" ref="H2672:K2674" si="1268">H2673</f>
        <v>88</v>
      </c>
      <c r="I2672" s="35">
        <f t="shared" si="1268"/>
        <v>88</v>
      </c>
      <c r="J2672" s="35">
        <f t="shared" si="1268"/>
        <v>88</v>
      </c>
      <c r="K2672" s="35">
        <f t="shared" si="1268"/>
        <v>74.5</v>
      </c>
      <c r="L2672" s="35">
        <f t="shared" si="1261"/>
        <v>84.659090909090907</v>
      </c>
      <c r="M2672" s="35">
        <f t="shared" si="1262"/>
        <v>84.659090909090907</v>
      </c>
    </row>
    <row r="2673" spans="1:13" ht="51">
      <c r="A2673" s="59" t="s">
        <v>1018</v>
      </c>
      <c r="B2673" s="28" t="s">
        <v>1011</v>
      </c>
      <c r="C2673" s="28" t="s">
        <v>17</v>
      </c>
      <c r="D2673" s="28" t="s">
        <v>110</v>
      </c>
      <c r="E2673" s="28" t="s">
        <v>1020</v>
      </c>
      <c r="F2673" s="58" t="s">
        <v>0</v>
      </c>
      <c r="G2673" s="35">
        <f>G2674</f>
        <v>88</v>
      </c>
      <c r="H2673" s="35">
        <f t="shared" si="1268"/>
        <v>88</v>
      </c>
      <c r="I2673" s="35">
        <f t="shared" si="1268"/>
        <v>88</v>
      </c>
      <c r="J2673" s="35">
        <f t="shared" si="1268"/>
        <v>88</v>
      </c>
      <c r="K2673" s="35">
        <f t="shared" si="1268"/>
        <v>74.5</v>
      </c>
      <c r="L2673" s="35">
        <f t="shared" si="1261"/>
        <v>84.659090909090907</v>
      </c>
      <c r="M2673" s="35">
        <f t="shared" si="1262"/>
        <v>84.659090909090907</v>
      </c>
    </row>
    <row r="2674" spans="1:13" ht="25.5">
      <c r="A2674" s="59" t="s">
        <v>64</v>
      </c>
      <c r="B2674" s="28" t="s">
        <v>1011</v>
      </c>
      <c r="C2674" s="28" t="s">
        <v>17</v>
      </c>
      <c r="D2674" s="28" t="s">
        <v>110</v>
      </c>
      <c r="E2674" s="28" t="s">
        <v>1020</v>
      </c>
      <c r="F2674" s="28" t="s">
        <v>65</v>
      </c>
      <c r="G2674" s="35">
        <f>G2675</f>
        <v>88</v>
      </c>
      <c r="H2674" s="35">
        <f t="shared" si="1268"/>
        <v>88</v>
      </c>
      <c r="I2674" s="35">
        <f t="shared" si="1268"/>
        <v>88</v>
      </c>
      <c r="J2674" s="35">
        <f t="shared" si="1268"/>
        <v>88</v>
      </c>
      <c r="K2674" s="35">
        <f t="shared" si="1268"/>
        <v>74.5</v>
      </c>
      <c r="L2674" s="35">
        <f t="shared" si="1261"/>
        <v>84.659090909090907</v>
      </c>
      <c r="M2674" s="35">
        <f t="shared" si="1262"/>
        <v>84.659090909090907</v>
      </c>
    </row>
    <row r="2675" spans="1:13" ht="25.5">
      <c r="A2675" s="59" t="s">
        <v>66</v>
      </c>
      <c r="B2675" s="28" t="s">
        <v>1011</v>
      </c>
      <c r="C2675" s="28" t="s">
        <v>17</v>
      </c>
      <c r="D2675" s="28" t="s">
        <v>110</v>
      </c>
      <c r="E2675" s="28" t="s">
        <v>1020</v>
      </c>
      <c r="F2675" s="28" t="s">
        <v>67</v>
      </c>
      <c r="G2675" s="35">
        <v>88</v>
      </c>
      <c r="H2675" s="35">
        <v>88</v>
      </c>
      <c r="I2675" s="35">
        <v>88</v>
      </c>
      <c r="J2675" s="35">
        <v>88</v>
      </c>
      <c r="K2675" s="35">
        <v>74.5</v>
      </c>
      <c r="L2675" s="35">
        <f t="shared" si="1261"/>
        <v>84.659090909090907</v>
      </c>
      <c r="M2675" s="35">
        <f t="shared" si="1262"/>
        <v>84.659090909090907</v>
      </c>
    </row>
    <row r="2676" spans="1:13">
      <c r="A2676" s="59" t="s">
        <v>1021</v>
      </c>
      <c r="B2676" s="28" t="s">
        <v>1011</v>
      </c>
      <c r="C2676" s="28" t="s">
        <v>17</v>
      </c>
      <c r="D2676" s="28" t="s">
        <v>110</v>
      </c>
      <c r="E2676" s="28" t="s">
        <v>1022</v>
      </c>
      <c r="F2676" s="58" t="s">
        <v>0</v>
      </c>
      <c r="G2676" s="35">
        <f>G2677</f>
        <v>4071.4</v>
      </c>
      <c r="H2676" s="35">
        <f t="shared" ref="H2676:K2678" si="1269">H2677</f>
        <v>4071.4</v>
      </c>
      <c r="I2676" s="35">
        <f t="shared" si="1269"/>
        <v>4071.4</v>
      </c>
      <c r="J2676" s="35">
        <f t="shared" si="1269"/>
        <v>0</v>
      </c>
      <c r="K2676" s="35">
        <f t="shared" si="1269"/>
        <v>0</v>
      </c>
      <c r="L2676" s="35">
        <f t="shared" si="1261"/>
        <v>0</v>
      </c>
      <c r="M2676" s="35">
        <f t="shared" si="1262"/>
        <v>0</v>
      </c>
    </row>
    <row r="2677" spans="1:13" ht="25.5">
      <c r="A2677" s="59" t="s">
        <v>1023</v>
      </c>
      <c r="B2677" s="28" t="s">
        <v>1011</v>
      </c>
      <c r="C2677" s="28" t="s">
        <v>17</v>
      </c>
      <c r="D2677" s="28" t="s">
        <v>110</v>
      </c>
      <c r="E2677" s="28" t="s">
        <v>1024</v>
      </c>
      <c r="F2677" s="58" t="s">
        <v>0</v>
      </c>
      <c r="G2677" s="35">
        <f>G2678</f>
        <v>4071.4</v>
      </c>
      <c r="H2677" s="35">
        <f t="shared" si="1269"/>
        <v>4071.4</v>
      </c>
      <c r="I2677" s="35">
        <f t="shared" si="1269"/>
        <v>4071.4</v>
      </c>
      <c r="J2677" s="35">
        <f t="shared" si="1269"/>
        <v>0</v>
      </c>
      <c r="K2677" s="35">
        <f t="shared" si="1269"/>
        <v>0</v>
      </c>
      <c r="L2677" s="35">
        <f t="shared" si="1261"/>
        <v>0</v>
      </c>
      <c r="M2677" s="35">
        <f t="shared" si="1262"/>
        <v>0</v>
      </c>
    </row>
    <row r="2678" spans="1:13">
      <c r="A2678" s="59" t="s">
        <v>72</v>
      </c>
      <c r="B2678" s="28" t="s">
        <v>1011</v>
      </c>
      <c r="C2678" s="28" t="s">
        <v>17</v>
      </c>
      <c r="D2678" s="28" t="s">
        <v>110</v>
      </c>
      <c r="E2678" s="28" t="s">
        <v>1024</v>
      </c>
      <c r="F2678" s="28" t="s">
        <v>73</v>
      </c>
      <c r="G2678" s="35">
        <f>G2679</f>
        <v>4071.4</v>
      </c>
      <c r="H2678" s="35">
        <f t="shared" si="1269"/>
        <v>4071.4</v>
      </c>
      <c r="I2678" s="35">
        <f t="shared" si="1269"/>
        <v>4071.4</v>
      </c>
      <c r="J2678" s="35">
        <f t="shared" si="1269"/>
        <v>0</v>
      </c>
      <c r="K2678" s="35">
        <f t="shared" si="1269"/>
        <v>0</v>
      </c>
      <c r="L2678" s="35">
        <f t="shared" si="1261"/>
        <v>0</v>
      </c>
      <c r="M2678" s="35">
        <f t="shared" si="1262"/>
        <v>0</v>
      </c>
    </row>
    <row r="2679" spans="1:13">
      <c r="A2679" s="59" t="s">
        <v>615</v>
      </c>
      <c r="B2679" s="28" t="s">
        <v>1011</v>
      </c>
      <c r="C2679" s="28" t="s">
        <v>17</v>
      </c>
      <c r="D2679" s="28" t="s">
        <v>110</v>
      </c>
      <c r="E2679" s="28" t="s">
        <v>1024</v>
      </c>
      <c r="F2679" s="28" t="s">
        <v>616</v>
      </c>
      <c r="G2679" s="35">
        <v>4071.4</v>
      </c>
      <c r="H2679" s="35">
        <v>4071.4</v>
      </c>
      <c r="I2679" s="35">
        <v>4071.4</v>
      </c>
      <c r="J2679" s="35">
        <v>0</v>
      </c>
      <c r="K2679" s="35">
        <v>0</v>
      </c>
      <c r="L2679" s="35">
        <f t="shared" si="1261"/>
        <v>0</v>
      </c>
      <c r="M2679" s="35">
        <f t="shared" si="1262"/>
        <v>0</v>
      </c>
    </row>
    <row r="2680" spans="1:13">
      <c r="A2680" s="59" t="s">
        <v>1025</v>
      </c>
      <c r="B2680" s="28" t="s">
        <v>1011</v>
      </c>
      <c r="C2680" s="28" t="s">
        <v>17</v>
      </c>
      <c r="D2680" s="28" t="s">
        <v>110</v>
      </c>
      <c r="E2680" s="28" t="s">
        <v>1026</v>
      </c>
      <c r="F2680" s="58" t="s">
        <v>0</v>
      </c>
      <c r="G2680" s="35">
        <f>G2681</f>
        <v>30539</v>
      </c>
      <c r="H2680" s="35">
        <f t="shared" ref="H2680:K2680" si="1270">H2681</f>
        <v>30539</v>
      </c>
      <c r="I2680" s="35">
        <f t="shared" si="1270"/>
        <v>22846.3</v>
      </c>
      <c r="J2680" s="35">
        <f t="shared" si="1270"/>
        <v>22846.3</v>
      </c>
      <c r="K2680" s="35">
        <f t="shared" si="1270"/>
        <v>20903.649740000001</v>
      </c>
      <c r="L2680" s="35">
        <f t="shared" si="1261"/>
        <v>68.44903153344903</v>
      </c>
      <c r="M2680" s="35">
        <f t="shared" si="1262"/>
        <v>91.496871440889777</v>
      </c>
    </row>
    <row r="2681" spans="1:13" ht="25.5">
      <c r="A2681" s="59" t="s">
        <v>58</v>
      </c>
      <c r="B2681" s="28" t="s">
        <v>1011</v>
      </c>
      <c r="C2681" s="28" t="s">
        <v>17</v>
      </c>
      <c r="D2681" s="28" t="s">
        <v>110</v>
      </c>
      <c r="E2681" s="28" t="s">
        <v>1027</v>
      </c>
      <c r="F2681" s="58" t="s">
        <v>0</v>
      </c>
      <c r="G2681" s="35">
        <f>G2682+G2684+G2686</f>
        <v>30539</v>
      </c>
      <c r="H2681" s="35">
        <f t="shared" ref="H2681:K2681" si="1271">H2682+H2684+H2686</f>
        <v>30539</v>
      </c>
      <c r="I2681" s="35">
        <f t="shared" si="1271"/>
        <v>22846.3</v>
      </c>
      <c r="J2681" s="35">
        <f t="shared" si="1271"/>
        <v>22846.3</v>
      </c>
      <c r="K2681" s="35">
        <f t="shared" si="1271"/>
        <v>20903.649740000001</v>
      </c>
      <c r="L2681" s="35">
        <f t="shared" si="1261"/>
        <v>68.44903153344903</v>
      </c>
      <c r="M2681" s="35">
        <f t="shared" si="1262"/>
        <v>91.496871440889777</v>
      </c>
    </row>
    <row r="2682" spans="1:13" ht="63.75">
      <c r="A2682" s="59" t="s">
        <v>60</v>
      </c>
      <c r="B2682" s="28" t="s">
        <v>1011</v>
      </c>
      <c r="C2682" s="28" t="s">
        <v>17</v>
      </c>
      <c r="D2682" s="28" t="s">
        <v>110</v>
      </c>
      <c r="E2682" s="28" t="s">
        <v>1027</v>
      </c>
      <c r="F2682" s="28" t="s">
        <v>61</v>
      </c>
      <c r="G2682" s="35">
        <f>G2683</f>
        <v>29891.8</v>
      </c>
      <c r="H2682" s="35">
        <f t="shared" ref="H2682:K2682" si="1272">H2683</f>
        <v>29891.8</v>
      </c>
      <c r="I2682" s="35">
        <f t="shared" si="1272"/>
        <v>22352.799999999999</v>
      </c>
      <c r="J2682" s="35">
        <f t="shared" si="1272"/>
        <v>22352.799999999999</v>
      </c>
      <c r="K2682" s="35">
        <f t="shared" si="1272"/>
        <v>20568.215199999999</v>
      </c>
      <c r="L2682" s="35">
        <f t="shared" si="1261"/>
        <v>68.808888056256222</v>
      </c>
      <c r="M2682" s="35">
        <f t="shared" si="1262"/>
        <v>92.016280734404631</v>
      </c>
    </row>
    <row r="2683" spans="1:13" ht="25.5">
      <c r="A2683" s="59" t="s">
        <v>62</v>
      </c>
      <c r="B2683" s="28" t="s">
        <v>1011</v>
      </c>
      <c r="C2683" s="28" t="s">
        <v>17</v>
      </c>
      <c r="D2683" s="28" t="s">
        <v>110</v>
      </c>
      <c r="E2683" s="28" t="s">
        <v>1027</v>
      </c>
      <c r="F2683" s="28" t="s">
        <v>63</v>
      </c>
      <c r="G2683" s="35">
        <v>29891.8</v>
      </c>
      <c r="H2683" s="35">
        <f>22410.8+713+6768</f>
        <v>29891.8</v>
      </c>
      <c r="I2683" s="35">
        <f>16614.8+713+5025</f>
        <v>22352.799999999999</v>
      </c>
      <c r="J2683" s="35">
        <f>16614.8+713+5025</f>
        <v>22352.799999999999</v>
      </c>
      <c r="K2683" s="35">
        <f>15706.50906+271.67444+4590.0317</f>
        <v>20568.215199999999</v>
      </c>
      <c r="L2683" s="35">
        <f t="shared" si="1261"/>
        <v>68.808888056256222</v>
      </c>
      <c r="M2683" s="35">
        <f t="shared" si="1262"/>
        <v>92.016280734404631</v>
      </c>
    </row>
    <row r="2684" spans="1:13" ht="25.5">
      <c r="A2684" s="59" t="s">
        <v>64</v>
      </c>
      <c r="B2684" s="28" t="s">
        <v>1011</v>
      </c>
      <c r="C2684" s="28" t="s">
        <v>17</v>
      </c>
      <c r="D2684" s="28" t="s">
        <v>110</v>
      </c>
      <c r="E2684" s="28" t="s">
        <v>1027</v>
      </c>
      <c r="F2684" s="28" t="s">
        <v>65</v>
      </c>
      <c r="G2684" s="35">
        <f>G2685</f>
        <v>629.20000000000005</v>
      </c>
      <c r="H2684" s="35">
        <f t="shared" ref="H2684:K2684" si="1273">H2685</f>
        <v>629.20000000000005</v>
      </c>
      <c r="I2684" s="35">
        <f t="shared" si="1273"/>
        <v>480</v>
      </c>
      <c r="J2684" s="35">
        <f t="shared" si="1273"/>
        <v>480</v>
      </c>
      <c r="K2684" s="35">
        <f t="shared" si="1273"/>
        <v>322.37554</v>
      </c>
      <c r="L2684" s="35">
        <f t="shared" si="1261"/>
        <v>51.235781945327396</v>
      </c>
      <c r="M2684" s="35">
        <f t="shared" si="1262"/>
        <v>67.161570833333329</v>
      </c>
    </row>
    <row r="2685" spans="1:13" ht="25.5">
      <c r="A2685" s="59" t="s">
        <v>66</v>
      </c>
      <c r="B2685" s="28" t="s">
        <v>1011</v>
      </c>
      <c r="C2685" s="28" t="s">
        <v>17</v>
      </c>
      <c r="D2685" s="28" t="s">
        <v>110</v>
      </c>
      <c r="E2685" s="28" t="s">
        <v>1027</v>
      </c>
      <c r="F2685" s="28" t="s">
        <v>67</v>
      </c>
      <c r="G2685" s="35">
        <v>629.20000000000005</v>
      </c>
      <c r="H2685" s="35">
        <v>629.20000000000005</v>
      </c>
      <c r="I2685" s="35">
        <v>480</v>
      </c>
      <c r="J2685" s="35">
        <v>480</v>
      </c>
      <c r="K2685" s="35">
        <v>322.37554</v>
      </c>
      <c r="L2685" s="35">
        <f t="shared" si="1261"/>
        <v>51.235781945327396</v>
      </c>
      <c r="M2685" s="35">
        <f t="shared" si="1262"/>
        <v>67.161570833333329</v>
      </c>
    </row>
    <row r="2686" spans="1:13">
      <c r="A2686" s="59" t="s">
        <v>72</v>
      </c>
      <c r="B2686" s="28" t="s">
        <v>1011</v>
      </c>
      <c r="C2686" s="28" t="s">
        <v>17</v>
      </c>
      <c r="D2686" s="28" t="s">
        <v>110</v>
      </c>
      <c r="E2686" s="28" t="s">
        <v>1027</v>
      </c>
      <c r="F2686" s="28" t="s">
        <v>73</v>
      </c>
      <c r="G2686" s="35">
        <f>G2687</f>
        <v>18</v>
      </c>
      <c r="H2686" s="35">
        <f t="shared" ref="H2686:K2686" si="1274">H2687</f>
        <v>18</v>
      </c>
      <c r="I2686" s="35">
        <f t="shared" si="1274"/>
        <v>13.5</v>
      </c>
      <c r="J2686" s="35">
        <f t="shared" si="1274"/>
        <v>13.5</v>
      </c>
      <c r="K2686" s="35">
        <f t="shared" si="1274"/>
        <v>13.059000000000001</v>
      </c>
      <c r="L2686" s="35">
        <f t="shared" si="1261"/>
        <v>72.55</v>
      </c>
      <c r="M2686" s="35">
        <f t="shared" si="1262"/>
        <v>96.733333333333334</v>
      </c>
    </row>
    <row r="2687" spans="1:13">
      <c r="A2687" s="59" t="s">
        <v>74</v>
      </c>
      <c r="B2687" s="28" t="s">
        <v>1011</v>
      </c>
      <c r="C2687" s="28" t="s">
        <v>17</v>
      </c>
      <c r="D2687" s="28" t="s">
        <v>110</v>
      </c>
      <c r="E2687" s="28" t="s">
        <v>1027</v>
      </c>
      <c r="F2687" s="28" t="s">
        <v>75</v>
      </c>
      <c r="G2687" s="35">
        <v>18</v>
      </c>
      <c r="H2687" s="35">
        <v>18</v>
      </c>
      <c r="I2687" s="35">
        <f>0.75+12.75</f>
        <v>13.5</v>
      </c>
      <c r="J2687" s="35">
        <f>0.75+12.75</f>
        <v>13.5</v>
      </c>
      <c r="K2687" s="35">
        <f>0.345+12.714</f>
        <v>13.059000000000001</v>
      </c>
      <c r="L2687" s="35">
        <f t="shared" si="1261"/>
        <v>72.55</v>
      </c>
      <c r="M2687" s="35">
        <f t="shared" si="1262"/>
        <v>96.733333333333334</v>
      </c>
    </row>
    <row r="2688" spans="1:13" ht="12" customHeight="1">
      <c r="A2688" s="64" t="s">
        <v>0</v>
      </c>
      <c r="B2688" s="65" t="s">
        <v>0</v>
      </c>
      <c r="C2688" s="58" t="s">
        <v>0</v>
      </c>
      <c r="D2688" s="58" t="s">
        <v>0</v>
      </c>
      <c r="E2688" s="58" t="s">
        <v>0</v>
      </c>
      <c r="F2688" s="58" t="s">
        <v>0</v>
      </c>
      <c r="G2688" s="66" t="s">
        <v>0</v>
      </c>
      <c r="H2688" s="66" t="s">
        <v>0</v>
      </c>
      <c r="I2688" s="66" t="s">
        <v>0</v>
      </c>
      <c r="J2688" s="66" t="s">
        <v>0</v>
      </c>
      <c r="K2688" s="66" t="s">
        <v>0</v>
      </c>
      <c r="L2688" s="35"/>
      <c r="M2688" s="35"/>
    </row>
    <row r="2689" spans="1:13" ht="38.25">
      <c r="A2689" s="56" t="s">
        <v>1028</v>
      </c>
      <c r="B2689" s="57" t="s">
        <v>1029</v>
      </c>
      <c r="C2689" s="58" t="s">
        <v>0</v>
      </c>
      <c r="D2689" s="58" t="s">
        <v>0</v>
      </c>
      <c r="E2689" s="58" t="s">
        <v>0</v>
      </c>
      <c r="F2689" s="58" t="s">
        <v>0</v>
      </c>
      <c r="G2689" s="30">
        <f>G2690</f>
        <v>40128.400000000001</v>
      </c>
      <c r="H2689" s="30">
        <f t="shared" ref="H2689:K2693" si="1275">H2690</f>
        <v>13276.328000000001</v>
      </c>
      <c r="I2689" s="30">
        <f t="shared" si="1275"/>
        <v>13213.468000000001</v>
      </c>
      <c r="J2689" s="30">
        <f t="shared" si="1275"/>
        <v>12190.417610000002</v>
      </c>
      <c r="K2689" s="30">
        <f t="shared" si="1275"/>
        <v>10500.132450000001</v>
      </c>
      <c r="L2689" s="30">
        <f t="shared" si="1261"/>
        <v>79.089131045873529</v>
      </c>
      <c r="M2689" s="30">
        <f t="shared" si="1262"/>
        <v>79.465379187356419</v>
      </c>
    </row>
    <row r="2690" spans="1:13">
      <c r="A2690" s="59" t="s">
        <v>16</v>
      </c>
      <c r="B2690" s="28" t="s">
        <v>1029</v>
      </c>
      <c r="C2690" s="28" t="s">
        <v>17</v>
      </c>
      <c r="D2690" s="58" t="s">
        <v>0</v>
      </c>
      <c r="E2690" s="58" t="s">
        <v>0</v>
      </c>
      <c r="F2690" s="58" t="s">
        <v>0</v>
      </c>
      <c r="G2690" s="35">
        <f>G2691</f>
        <v>40128.400000000001</v>
      </c>
      <c r="H2690" s="35">
        <f t="shared" si="1275"/>
        <v>13276.328000000001</v>
      </c>
      <c r="I2690" s="35">
        <f t="shared" si="1275"/>
        <v>13213.468000000001</v>
      </c>
      <c r="J2690" s="35">
        <f t="shared" si="1275"/>
        <v>12190.417610000002</v>
      </c>
      <c r="K2690" s="35">
        <f t="shared" si="1275"/>
        <v>10500.132450000001</v>
      </c>
      <c r="L2690" s="35">
        <f t="shared" si="1261"/>
        <v>79.089131045873529</v>
      </c>
      <c r="M2690" s="35">
        <f t="shared" si="1262"/>
        <v>79.465379187356419</v>
      </c>
    </row>
    <row r="2691" spans="1:13">
      <c r="A2691" s="59" t="s">
        <v>386</v>
      </c>
      <c r="B2691" s="28" t="s">
        <v>1029</v>
      </c>
      <c r="C2691" s="28" t="s">
        <v>17</v>
      </c>
      <c r="D2691" s="28" t="s">
        <v>387</v>
      </c>
      <c r="E2691" s="58" t="s">
        <v>0</v>
      </c>
      <c r="F2691" s="58" t="s">
        <v>0</v>
      </c>
      <c r="G2691" s="35">
        <f>G2692</f>
        <v>40128.400000000001</v>
      </c>
      <c r="H2691" s="35">
        <f t="shared" si="1275"/>
        <v>13276.328000000001</v>
      </c>
      <c r="I2691" s="35">
        <f t="shared" si="1275"/>
        <v>13213.468000000001</v>
      </c>
      <c r="J2691" s="35">
        <f t="shared" si="1275"/>
        <v>12190.417610000002</v>
      </c>
      <c r="K2691" s="35">
        <f t="shared" si="1275"/>
        <v>10500.132450000001</v>
      </c>
      <c r="L2691" s="35">
        <f t="shared" si="1261"/>
        <v>79.089131045873529</v>
      </c>
      <c r="M2691" s="35">
        <f t="shared" si="1262"/>
        <v>79.465379187356419</v>
      </c>
    </row>
    <row r="2692" spans="1:13" ht="63.75">
      <c r="A2692" s="59" t="s">
        <v>953</v>
      </c>
      <c r="B2692" s="28" t="s">
        <v>1029</v>
      </c>
      <c r="C2692" s="28" t="s">
        <v>17</v>
      </c>
      <c r="D2692" s="28" t="s">
        <v>387</v>
      </c>
      <c r="E2692" s="28" t="s">
        <v>954</v>
      </c>
      <c r="F2692" s="58" t="s">
        <v>0</v>
      </c>
      <c r="G2692" s="35">
        <f>G2693</f>
        <v>40128.400000000001</v>
      </c>
      <c r="H2692" s="35">
        <f t="shared" si="1275"/>
        <v>13276.328000000001</v>
      </c>
      <c r="I2692" s="35">
        <f t="shared" si="1275"/>
        <v>13213.468000000001</v>
      </c>
      <c r="J2692" s="35">
        <f t="shared" si="1275"/>
        <v>12190.417610000002</v>
      </c>
      <c r="K2692" s="35">
        <f t="shared" si="1275"/>
        <v>10500.132450000001</v>
      </c>
      <c r="L2692" s="35">
        <f t="shared" si="1261"/>
        <v>79.089131045873529</v>
      </c>
      <c r="M2692" s="35">
        <f t="shared" si="1262"/>
        <v>79.465379187356419</v>
      </c>
    </row>
    <row r="2693" spans="1:13" ht="25.5">
      <c r="A2693" s="59" t="s">
        <v>965</v>
      </c>
      <c r="B2693" s="28" t="s">
        <v>1029</v>
      </c>
      <c r="C2693" s="28" t="s">
        <v>17</v>
      </c>
      <c r="D2693" s="28" t="s">
        <v>387</v>
      </c>
      <c r="E2693" s="28" t="s">
        <v>966</v>
      </c>
      <c r="F2693" s="58" t="s">
        <v>0</v>
      </c>
      <c r="G2693" s="35">
        <f>G2694</f>
        <v>40128.400000000001</v>
      </c>
      <c r="H2693" s="35">
        <f t="shared" si="1275"/>
        <v>13276.328000000001</v>
      </c>
      <c r="I2693" s="35">
        <f t="shared" si="1275"/>
        <v>13213.468000000001</v>
      </c>
      <c r="J2693" s="35">
        <f t="shared" si="1275"/>
        <v>12190.417610000002</v>
      </c>
      <c r="K2693" s="35">
        <f t="shared" si="1275"/>
        <v>10500.132450000001</v>
      </c>
      <c r="L2693" s="35">
        <f t="shared" si="1261"/>
        <v>79.089131045873529</v>
      </c>
      <c r="M2693" s="35">
        <f t="shared" si="1262"/>
        <v>79.465379187356419</v>
      </c>
    </row>
    <row r="2694" spans="1:13" ht="25.5">
      <c r="A2694" s="59" t="s">
        <v>58</v>
      </c>
      <c r="B2694" s="28" t="s">
        <v>1029</v>
      </c>
      <c r="C2694" s="28" t="s">
        <v>17</v>
      </c>
      <c r="D2694" s="28" t="s">
        <v>387</v>
      </c>
      <c r="E2694" s="28" t="s">
        <v>1030</v>
      </c>
      <c r="F2694" s="58" t="s">
        <v>0</v>
      </c>
      <c r="G2694" s="35">
        <f>G2695+G2697+G2699</f>
        <v>40128.400000000001</v>
      </c>
      <c r="H2694" s="35">
        <f t="shared" ref="H2694:K2694" si="1276">H2695+H2697+H2699</f>
        <v>13276.328000000001</v>
      </c>
      <c r="I2694" s="35">
        <f t="shared" si="1276"/>
        <v>13213.468000000001</v>
      </c>
      <c r="J2694" s="35">
        <f t="shared" si="1276"/>
        <v>12190.417610000002</v>
      </c>
      <c r="K2694" s="35">
        <f t="shared" si="1276"/>
        <v>10500.132450000001</v>
      </c>
      <c r="L2694" s="35">
        <f t="shared" si="1261"/>
        <v>79.089131045873529</v>
      </c>
      <c r="M2694" s="35">
        <f t="shared" si="1262"/>
        <v>79.465379187356419</v>
      </c>
    </row>
    <row r="2695" spans="1:13" ht="63.75">
      <c r="A2695" s="59" t="s">
        <v>60</v>
      </c>
      <c r="B2695" s="28" t="s">
        <v>1029</v>
      </c>
      <c r="C2695" s="28" t="s">
        <v>17</v>
      </c>
      <c r="D2695" s="28" t="s">
        <v>387</v>
      </c>
      <c r="E2695" s="28" t="s">
        <v>1030</v>
      </c>
      <c r="F2695" s="28" t="s">
        <v>61</v>
      </c>
      <c r="G2695" s="35">
        <f>G2696</f>
        <v>38487.5</v>
      </c>
      <c r="H2695" s="35">
        <f t="shared" ref="H2695:K2695" si="1277">H2696</f>
        <v>12035.468000000001</v>
      </c>
      <c r="I2695" s="35">
        <f t="shared" si="1277"/>
        <v>12035.468000000001</v>
      </c>
      <c r="J2695" s="35">
        <f t="shared" si="1277"/>
        <v>11014.284000000001</v>
      </c>
      <c r="K2695" s="35">
        <f t="shared" si="1277"/>
        <v>9328.0929400000005</v>
      </c>
      <c r="L2695" s="35">
        <f t="shared" si="1261"/>
        <v>77.505028803200673</v>
      </c>
      <c r="M2695" s="35">
        <f t="shared" si="1262"/>
        <v>77.505028803200673</v>
      </c>
    </row>
    <row r="2696" spans="1:13" ht="25.5">
      <c r="A2696" s="59" t="s">
        <v>62</v>
      </c>
      <c r="B2696" s="28" t="s">
        <v>1029</v>
      </c>
      <c r="C2696" s="28" t="s">
        <v>17</v>
      </c>
      <c r="D2696" s="28" t="s">
        <v>387</v>
      </c>
      <c r="E2696" s="28" t="s">
        <v>1030</v>
      </c>
      <c r="F2696" s="28" t="s">
        <v>63</v>
      </c>
      <c r="G2696" s="35">
        <v>38487.5</v>
      </c>
      <c r="H2696" s="35">
        <f>9137.858+461.61+2436</f>
        <v>12035.468000000001</v>
      </c>
      <c r="I2696" s="35">
        <f>9137.858+461.61+2436</f>
        <v>12035.468000000001</v>
      </c>
      <c r="J2696" s="35">
        <f>8252.674+461.61+2300</f>
        <v>11014.284000000001</v>
      </c>
      <c r="K2696" s="35">
        <f>7639.00656+118.12189+1570.96449</f>
        <v>9328.0929400000005</v>
      </c>
      <c r="L2696" s="35">
        <f t="shared" si="1261"/>
        <v>77.505028803200673</v>
      </c>
      <c r="M2696" s="35">
        <f t="shared" si="1262"/>
        <v>77.505028803200673</v>
      </c>
    </row>
    <row r="2697" spans="1:13" ht="25.5">
      <c r="A2697" s="59" t="s">
        <v>64</v>
      </c>
      <c r="B2697" s="28" t="s">
        <v>1029</v>
      </c>
      <c r="C2697" s="28" t="s">
        <v>17</v>
      </c>
      <c r="D2697" s="28" t="s">
        <v>387</v>
      </c>
      <c r="E2697" s="28" t="s">
        <v>1030</v>
      </c>
      <c r="F2697" s="28" t="s">
        <v>65</v>
      </c>
      <c r="G2697" s="35">
        <f>G2698</f>
        <v>1637.9</v>
      </c>
      <c r="H2697" s="35">
        <f t="shared" ref="H2697:K2697" si="1278">H2698</f>
        <v>1237.8599999999999</v>
      </c>
      <c r="I2697" s="35">
        <f t="shared" si="1278"/>
        <v>1175</v>
      </c>
      <c r="J2697" s="35">
        <f t="shared" si="1278"/>
        <v>1175</v>
      </c>
      <c r="K2697" s="35">
        <f t="shared" si="1278"/>
        <v>1170.9059</v>
      </c>
      <c r="L2697" s="35">
        <f t="shared" si="1261"/>
        <v>94.591141162974807</v>
      </c>
      <c r="M2697" s="35">
        <f t="shared" si="1262"/>
        <v>99.651565957446806</v>
      </c>
    </row>
    <row r="2698" spans="1:13" ht="25.5">
      <c r="A2698" s="59" t="s">
        <v>66</v>
      </c>
      <c r="B2698" s="28" t="s">
        <v>1029</v>
      </c>
      <c r="C2698" s="28" t="s">
        <v>17</v>
      </c>
      <c r="D2698" s="28" t="s">
        <v>387</v>
      </c>
      <c r="E2698" s="28" t="s">
        <v>1030</v>
      </c>
      <c r="F2698" s="28" t="s">
        <v>67</v>
      </c>
      <c r="G2698" s="35">
        <v>1637.9</v>
      </c>
      <c r="H2698" s="35">
        <v>1237.8599999999999</v>
      </c>
      <c r="I2698" s="35">
        <v>1175</v>
      </c>
      <c r="J2698" s="35">
        <v>1175</v>
      </c>
      <c r="K2698" s="35">
        <v>1170.9059</v>
      </c>
      <c r="L2698" s="35">
        <f t="shared" si="1261"/>
        <v>94.591141162974807</v>
      </c>
      <c r="M2698" s="35">
        <f t="shared" si="1262"/>
        <v>99.651565957446806</v>
      </c>
    </row>
    <row r="2699" spans="1:13">
      <c r="A2699" s="59" t="s">
        <v>72</v>
      </c>
      <c r="B2699" s="28" t="s">
        <v>1029</v>
      </c>
      <c r="C2699" s="28" t="s">
        <v>17</v>
      </c>
      <c r="D2699" s="28" t="s">
        <v>387</v>
      </c>
      <c r="E2699" s="28" t="s">
        <v>1030</v>
      </c>
      <c r="F2699" s="28" t="s">
        <v>73</v>
      </c>
      <c r="G2699" s="35">
        <f>G2700</f>
        <v>3</v>
      </c>
      <c r="H2699" s="35">
        <f t="shared" ref="H2699:K2699" si="1279">H2700</f>
        <v>3</v>
      </c>
      <c r="I2699" s="35">
        <f t="shared" si="1279"/>
        <v>3</v>
      </c>
      <c r="J2699" s="35">
        <f t="shared" si="1279"/>
        <v>1.13361</v>
      </c>
      <c r="K2699" s="35">
        <f t="shared" si="1279"/>
        <v>1.13361</v>
      </c>
      <c r="L2699" s="35">
        <f t="shared" si="1261"/>
        <v>37.786999999999999</v>
      </c>
      <c r="M2699" s="35">
        <f t="shared" si="1262"/>
        <v>37.786999999999999</v>
      </c>
    </row>
    <row r="2700" spans="1:13">
      <c r="A2700" s="59" t="s">
        <v>74</v>
      </c>
      <c r="B2700" s="28" t="s">
        <v>1029</v>
      </c>
      <c r="C2700" s="28" t="s">
        <v>17</v>
      </c>
      <c r="D2700" s="28" t="s">
        <v>387</v>
      </c>
      <c r="E2700" s="28" t="s">
        <v>1030</v>
      </c>
      <c r="F2700" s="28" t="s">
        <v>75</v>
      </c>
      <c r="G2700" s="35">
        <v>3</v>
      </c>
      <c r="H2700" s="35">
        <f>1.86639+1.13361</f>
        <v>3</v>
      </c>
      <c r="I2700" s="35">
        <f>1.86639+1.13361</f>
        <v>3</v>
      </c>
      <c r="J2700" s="35">
        <f>1.13361</f>
        <v>1.13361</v>
      </c>
      <c r="K2700" s="35">
        <v>1.13361</v>
      </c>
      <c r="L2700" s="35">
        <f t="shared" si="1261"/>
        <v>37.786999999999999</v>
      </c>
      <c r="M2700" s="35">
        <f t="shared" si="1262"/>
        <v>37.786999999999999</v>
      </c>
    </row>
    <row r="2701" spans="1:13" ht="14.25" customHeight="1">
      <c r="A2701" s="64" t="s">
        <v>0</v>
      </c>
      <c r="B2701" s="65" t="s">
        <v>0</v>
      </c>
      <c r="C2701" s="58" t="s">
        <v>0</v>
      </c>
      <c r="D2701" s="58" t="s">
        <v>0</v>
      </c>
      <c r="E2701" s="58" t="s">
        <v>0</v>
      </c>
      <c r="F2701" s="58" t="s">
        <v>0</v>
      </c>
      <c r="G2701" s="66" t="s">
        <v>0</v>
      </c>
      <c r="H2701" s="66" t="s">
        <v>0</v>
      </c>
      <c r="I2701" s="66" t="s">
        <v>0</v>
      </c>
      <c r="J2701" s="66" t="s">
        <v>0</v>
      </c>
      <c r="K2701" s="66" t="s">
        <v>0</v>
      </c>
      <c r="L2701" s="35"/>
      <c r="M2701" s="35"/>
    </row>
    <row r="2702" spans="1:13" ht="25.5">
      <c r="A2702" s="56" t="s">
        <v>1031</v>
      </c>
      <c r="B2702" s="57" t="s">
        <v>1032</v>
      </c>
      <c r="C2702" s="58" t="s">
        <v>0</v>
      </c>
      <c r="D2702" s="58" t="s">
        <v>0</v>
      </c>
      <c r="E2702" s="58" t="s">
        <v>0</v>
      </c>
      <c r="F2702" s="58" t="s">
        <v>0</v>
      </c>
      <c r="G2702" s="30">
        <f>G2703</f>
        <v>185245.09999999998</v>
      </c>
      <c r="H2702" s="30">
        <f t="shared" ref="H2702:K2704" si="1280">H2703</f>
        <v>185062.70043999999</v>
      </c>
      <c r="I2702" s="30">
        <f t="shared" si="1280"/>
        <v>140273.01594000001</v>
      </c>
      <c r="J2702" s="30">
        <f t="shared" si="1280"/>
        <v>138972.50439000002</v>
      </c>
      <c r="K2702" s="30">
        <f t="shared" si="1280"/>
        <v>128339.93354000001</v>
      </c>
      <c r="L2702" s="30">
        <f t="shared" si="1261"/>
        <v>69.349433048832921</v>
      </c>
      <c r="M2702" s="30">
        <f t="shared" si="1262"/>
        <v>91.492959412019616</v>
      </c>
    </row>
    <row r="2703" spans="1:13">
      <c r="A2703" s="59" t="s">
        <v>16</v>
      </c>
      <c r="B2703" s="28" t="s">
        <v>1032</v>
      </c>
      <c r="C2703" s="28" t="s">
        <v>17</v>
      </c>
      <c r="D2703" s="58" t="s">
        <v>0</v>
      </c>
      <c r="E2703" s="58" t="s">
        <v>0</v>
      </c>
      <c r="F2703" s="58" t="s">
        <v>0</v>
      </c>
      <c r="G2703" s="35">
        <f>G2704</f>
        <v>185245.09999999998</v>
      </c>
      <c r="H2703" s="35">
        <f t="shared" si="1280"/>
        <v>185062.70043999999</v>
      </c>
      <c r="I2703" s="35">
        <f t="shared" si="1280"/>
        <v>140273.01594000001</v>
      </c>
      <c r="J2703" s="35">
        <f t="shared" si="1280"/>
        <v>138972.50439000002</v>
      </c>
      <c r="K2703" s="35">
        <f t="shared" si="1280"/>
        <v>128339.93354000001</v>
      </c>
      <c r="L2703" s="35">
        <f t="shared" si="1261"/>
        <v>69.349433048832921</v>
      </c>
      <c r="M2703" s="35">
        <f t="shared" si="1262"/>
        <v>91.492959412019616</v>
      </c>
    </row>
    <row r="2704" spans="1:13" ht="51">
      <c r="A2704" s="59" t="s">
        <v>1033</v>
      </c>
      <c r="B2704" s="28" t="s">
        <v>1032</v>
      </c>
      <c r="C2704" s="28" t="s">
        <v>17</v>
      </c>
      <c r="D2704" s="28" t="s">
        <v>150</v>
      </c>
      <c r="E2704" s="58" t="s">
        <v>0</v>
      </c>
      <c r="F2704" s="58" t="s">
        <v>0</v>
      </c>
      <c r="G2704" s="35">
        <f>G2705</f>
        <v>185245.09999999998</v>
      </c>
      <c r="H2704" s="35">
        <f t="shared" si="1280"/>
        <v>185062.70043999999</v>
      </c>
      <c r="I2704" s="35">
        <f t="shared" si="1280"/>
        <v>140273.01594000001</v>
      </c>
      <c r="J2704" s="35">
        <f t="shared" si="1280"/>
        <v>138972.50439000002</v>
      </c>
      <c r="K2704" s="35">
        <f t="shared" si="1280"/>
        <v>128339.93354000001</v>
      </c>
      <c r="L2704" s="35">
        <f t="shared" si="1261"/>
        <v>69.349433048832921</v>
      </c>
      <c r="M2704" s="35">
        <f t="shared" si="1262"/>
        <v>91.492959412019616</v>
      </c>
    </row>
    <row r="2705" spans="1:13" ht="25.5">
      <c r="A2705" s="59" t="s">
        <v>1034</v>
      </c>
      <c r="B2705" s="28" t="s">
        <v>1032</v>
      </c>
      <c r="C2705" s="28" t="s">
        <v>17</v>
      </c>
      <c r="D2705" s="28" t="s">
        <v>150</v>
      </c>
      <c r="E2705" s="28" t="s">
        <v>1035</v>
      </c>
      <c r="F2705" s="58" t="s">
        <v>0</v>
      </c>
      <c r="G2705" s="35">
        <f>G2706+G2710+G2714</f>
        <v>185245.09999999998</v>
      </c>
      <c r="H2705" s="35">
        <f t="shared" ref="H2705:K2705" si="1281">H2706+H2710+H2714</f>
        <v>185062.70043999999</v>
      </c>
      <c r="I2705" s="35">
        <f t="shared" si="1281"/>
        <v>140273.01594000001</v>
      </c>
      <c r="J2705" s="35">
        <f t="shared" si="1281"/>
        <v>138972.50439000002</v>
      </c>
      <c r="K2705" s="35">
        <f t="shared" si="1281"/>
        <v>128339.93354000001</v>
      </c>
      <c r="L2705" s="35">
        <f t="shared" si="1261"/>
        <v>69.349433048832921</v>
      </c>
      <c r="M2705" s="35">
        <f t="shared" si="1262"/>
        <v>91.492959412019616</v>
      </c>
    </row>
    <row r="2706" spans="1:13" ht="25.5">
      <c r="A2706" s="59" t="s">
        <v>1036</v>
      </c>
      <c r="B2706" s="28" t="s">
        <v>1032</v>
      </c>
      <c r="C2706" s="28" t="s">
        <v>17</v>
      </c>
      <c r="D2706" s="28" t="s">
        <v>150</v>
      </c>
      <c r="E2706" s="28" t="s">
        <v>1037</v>
      </c>
      <c r="F2706" s="58" t="s">
        <v>0</v>
      </c>
      <c r="G2706" s="35">
        <f>G2707</f>
        <v>4540.8999999999996</v>
      </c>
      <c r="H2706" s="35">
        <f t="shared" ref="H2706:K2708" si="1282">H2707</f>
        <v>4540.8999999999996</v>
      </c>
      <c r="I2706" s="35">
        <f t="shared" si="1282"/>
        <v>3529.6179999999999</v>
      </c>
      <c r="J2706" s="35">
        <f t="shared" si="1282"/>
        <v>3459.6179999999999</v>
      </c>
      <c r="K2706" s="35">
        <f t="shared" si="1282"/>
        <v>3412.2324600000002</v>
      </c>
      <c r="L2706" s="35">
        <f t="shared" si="1261"/>
        <v>75.144408817635281</v>
      </c>
      <c r="M2706" s="35">
        <f t="shared" si="1262"/>
        <v>96.674270700115429</v>
      </c>
    </row>
    <row r="2707" spans="1:13" ht="25.5">
      <c r="A2707" s="59" t="s">
        <v>58</v>
      </c>
      <c r="B2707" s="28" t="s">
        <v>1032</v>
      </c>
      <c r="C2707" s="28" t="s">
        <v>17</v>
      </c>
      <c r="D2707" s="28" t="s">
        <v>150</v>
      </c>
      <c r="E2707" s="28" t="s">
        <v>1038</v>
      </c>
      <c r="F2707" s="58" t="s">
        <v>0</v>
      </c>
      <c r="G2707" s="35">
        <f>G2708</f>
        <v>4540.8999999999996</v>
      </c>
      <c r="H2707" s="35">
        <f t="shared" si="1282"/>
        <v>4540.8999999999996</v>
      </c>
      <c r="I2707" s="35">
        <f t="shared" si="1282"/>
        <v>3529.6179999999999</v>
      </c>
      <c r="J2707" s="35">
        <f t="shared" si="1282"/>
        <v>3459.6179999999999</v>
      </c>
      <c r="K2707" s="35">
        <f t="shared" si="1282"/>
        <v>3412.2324600000002</v>
      </c>
      <c r="L2707" s="35">
        <f t="shared" si="1261"/>
        <v>75.144408817635281</v>
      </c>
      <c r="M2707" s="35">
        <f t="shared" si="1262"/>
        <v>96.674270700115429</v>
      </c>
    </row>
    <row r="2708" spans="1:13" ht="63.75">
      <c r="A2708" s="59" t="s">
        <v>60</v>
      </c>
      <c r="B2708" s="28" t="s">
        <v>1032</v>
      </c>
      <c r="C2708" s="28" t="s">
        <v>17</v>
      </c>
      <c r="D2708" s="28" t="s">
        <v>150</v>
      </c>
      <c r="E2708" s="28" t="s">
        <v>1038</v>
      </c>
      <c r="F2708" s="28" t="s">
        <v>61</v>
      </c>
      <c r="G2708" s="35">
        <f>G2709</f>
        <v>4540.8999999999996</v>
      </c>
      <c r="H2708" s="35">
        <f t="shared" si="1282"/>
        <v>4540.8999999999996</v>
      </c>
      <c r="I2708" s="35">
        <f t="shared" si="1282"/>
        <v>3529.6179999999999</v>
      </c>
      <c r="J2708" s="35">
        <f t="shared" si="1282"/>
        <v>3459.6179999999999</v>
      </c>
      <c r="K2708" s="35">
        <f t="shared" si="1282"/>
        <v>3412.2324600000002</v>
      </c>
      <c r="L2708" s="35">
        <f t="shared" si="1261"/>
        <v>75.144408817635281</v>
      </c>
      <c r="M2708" s="35">
        <f t="shared" si="1262"/>
        <v>96.674270700115429</v>
      </c>
    </row>
    <row r="2709" spans="1:13" ht="25.5">
      <c r="A2709" s="59" t="s">
        <v>62</v>
      </c>
      <c r="B2709" s="28" t="s">
        <v>1032</v>
      </c>
      <c r="C2709" s="28" t="s">
        <v>17</v>
      </c>
      <c r="D2709" s="28" t="s">
        <v>150</v>
      </c>
      <c r="E2709" s="28" t="s">
        <v>1038</v>
      </c>
      <c r="F2709" s="28" t="s">
        <v>63</v>
      </c>
      <c r="G2709" s="35">
        <v>4540.8999999999996</v>
      </c>
      <c r="H2709" s="35">
        <v>4540.8999999999996</v>
      </c>
      <c r="I2709" s="35">
        <v>3529.6179999999999</v>
      </c>
      <c r="J2709" s="35">
        <v>3459.6179999999999</v>
      </c>
      <c r="K2709" s="35">
        <v>3412.2324600000002</v>
      </c>
      <c r="L2709" s="35">
        <f t="shared" si="1261"/>
        <v>75.144408817635281</v>
      </c>
      <c r="M2709" s="35">
        <f t="shared" si="1262"/>
        <v>96.674270700115429</v>
      </c>
    </row>
    <row r="2710" spans="1:13" ht="25.5">
      <c r="A2710" s="59" t="s">
        <v>1039</v>
      </c>
      <c r="B2710" s="28" t="s">
        <v>1032</v>
      </c>
      <c r="C2710" s="28" t="s">
        <v>17</v>
      </c>
      <c r="D2710" s="28" t="s">
        <v>150</v>
      </c>
      <c r="E2710" s="28" t="s">
        <v>1040</v>
      </c>
      <c r="F2710" s="58" t="s">
        <v>0</v>
      </c>
      <c r="G2710" s="35">
        <f>G2711</f>
        <v>41293.199999999997</v>
      </c>
      <c r="H2710" s="35">
        <f t="shared" ref="H2710:K2712" si="1283">H2711</f>
        <v>41293.199999999997</v>
      </c>
      <c r="I2710" s="35">
        <f t="shared" si="1283"/>
        <v>31357.683000000001</v>
      </c>
      <c r="J2710" s="35">
        <f t="shared" si="1283"/>
        <v>31357.683000000001</v>
      </c>
      <c r="K2710" s="35">
        <f t="shared" si="1283"/>
        <v>29931.594870000001</v>
      </c>
      <c r="L2710" s="35">
        <f t="shared" si="1261"/>
        <v>72.485529990410043</v>
      </c>
      <c r="M2710" s="35">
        <f t="shared" si="1262"/>
        <v>95.452189085526513</v>
      </c>
    </row>
    <row r="2711" spans="1:13" ht="25.5">
      <c r="A2711" s="59" t="s">
        <v>58</v>
      </c>
      <c r="B2711" s="28" t="s">
        <v>1032</v>
      </c>
      <c r="C2711" s="28" t="s">
        <v>17</v>
      </c>
      <c r="D2711" s="28" t="s">
        <v>150</v>
      </c>
      <c r="E2711" s="28" t="s">
        <v>1041</v>
      </c>
      <c r="F2711" s="58" t="s">
        <v>0</v>
      </c>
      <c r="G2711" s="35">
        <f>G2712</f>
        <v>41293.199999999997</v>
      </c>
      <c r="H2711" s="35">
        <f t="shared" si="1283"/>
        <v>41293.199999999997</v>
      </c>
      <c r="I2711" s="35">
        <f t="shared" si="1283"/>
        <v>31357.683000000001</v>
      </c>
      <c r="J2711" s="35">
        <f t="shared" si="1283"/>
        <v>31357.683000000001</v>
      </c>
      <c r="K2711" s="35">
        <f t="shared" si="1283"/>
        <v>29931.594870000001</v>
      </c>
      <c r="L2711" s="35">
        <f t="shared" si="1261"/>
        <v>72.485529990410043</v>
      </c>
      <c r="M2711" s="35">
        <f t="shared" si="1262"/>
        <v>95.452189085526513</v>
      </c>
    </row>
    <row r="2712" spans="1:13" ht="63.75">
      <c r="A2712" s="59" t="s">
        <v>60</v>
      </c>
      <c r="B2712" s="28" t="s">
        <v>1032</v>
      </c>
      <c r="C2712" s="28" t="s">
        <v>17</v>
      </c>
      <c r="D2712" s="28" t="s">
        <v>150</v>
      </c>
      <c r="E2712" s="28" t="s">
        <v>1041</v>
      </c>
      <c r="F2712" s="28" t="s">
        <v>61</v>
      </c>
      <c r="G2712" s="35">
        <f>G2713</f>
        <v>41293.199999999997</v>
      </c>
      <c r="H2712" s="35">
        <f t="shared" si="1283"/>
        <v>41293.199999999997</v>
      </c>
      <c r="I2712" s="35">
        <f t="shared" si="1283"/>
        <v>31357.683000000001</v>
      </c>
      <c r="J2712" s="35">
        <f t="shared" si="1283"/>
        <v>31357.683000000001</v>
      </c>
      <c r="K2712" s="35">
        <f t="shared" si="1283"/>
        <v>29931.594870000001</v>
      </c>
      <c r="L2712" s="35">
        <f t="shared" si="1261"/>
        <v>72.485529990410043</v>
      </c>
      <c r="M2712" s="35">
        <f t="shared" si="1262"/>
        <v>95.452189085526513</v>
      </c>
    </row>
    <row r="2713" spans="1:13" ht="25.5">
      <c r="A2713" s="59" t="s">
        <v>62</v>
      </c>
      <c r="B2713" s="28" t="s">
        <v>1032</v>
      </c>
      <c r="C2713" s="28" t="s">
        <v>17</v>
      </c>
      <c r="D2713" s="28" t="s">
        <v>150</v>
      </c>
      <c r="E2713" s="28" t="s">
        <v>1041</v>
      </c>
      <c r="F2713" s="28" t="s">
        <v>63</v>
      </c>
      <c r="G2713" s="35">
        <v>41293.199999999997</v>
      </c>
      <c r="H2713" s="35">
        <v>41293.199999999997</v>
      </c>
      <c r="I2713" s="35">
        <v>31357.683000000001</v>
      </c>
      <c r="J2713" s="35">
        <v>31357.683000000001</v>
      </c>
      <c r="K2713" s="35">
        <v>29931.594870000001</v>
      </c>
      <c r="L2713" s="35">
        <f t="shared" si="1261"/>
        <v>72.485529990410043</v>
      </c>
      <c r="M2713" s="35">
        <f t="shared" si="1262"/>
        <v>95.452189085526513</v>
      </c>
    </row>
    <row r="2714" spans="1:13">
      <c r="A2714" s="59" t="s">
        <v>1042</v>
      </c>
      <c r="B2714" s="28" t="s">
        <v>1032</v>
      </c>
      <c r="C2714" s="28" t="s">
        <v>17</v>
      </c>
      <c r="D2714" s="28" t="s">
        <v>150</v>
      </c>
      <c r="E2714" s="28" t="s">
        <v>1043</v>
      </c>
      <c r="F2714" s="58" t="s">
        <v>0</v>
      </c>
      <c r="G2714" s="35">
        <f>G2715+G2723</f>
        <v>139410.99999999997</v>
      </c>
      <c r="H2714" s="35">
        <f t="shared" ref="H2714:K2714" si="1284">H2715+H2723</f>
        <v>139228.60043999998</v>
      </c>
      <c r="I2714" s="35">
        <f t="shared" si="1284"/>
        <v>105385.71494000001</v>
      </c>
      <c r="J2714" s="35">
        <f t="shared" si="1284"/>
        <v>104155.20339000001</v>
      </c>
      <c r="K2714" s="35">
        <f t="shared" si="1284"/>
        <v>94996.106210000013</v>
      </c>
      <c r="L2714" s="35">
        <f t="shared" si="1261"/>
        <v>68.230310374295698</v>
      </c>
      <c r="M2714" s="35">
        <f t="shared" si="1262"/>
        <v>90.141350053073907</v>
      </c>
    </row>
    <row r="2715" spans="1:13" ht="25.5">
      <c r="A2715" s="59" t="s">
        <v>58</v>
      </c>
      <c r="B2715" s="28" t="s">
        <v>1032</v>
      </c>
      <c r="C2715" s="28" t="s">
        <v>17</v>
      </c>
      <c r="D2715" s="28" t="s">
        <v>150</v>
      </c>
      <c r="E2715" s="28" t="s">
        <v>1044</v>
      </c>
      <c r="F2715" s="58" t="s">
        <v>0</v>
      </c>
      <c r="G2715" s="35">
        <f>G2716+G2718+G2720</f>
        <v>138091.59999999998</v>
      </c>
      <c r="H2715" s="35">
        <f t="shared" ref="H2715:K2715" si="1285">H2716+H2718+H2720</f>
        <v>137909.20043999999</v>
      </c>
      <c r="I2715" s="35">
        <f t="shared" si="1285"/>
        <v>104635.71494000001</v>
      </c>
      <c r="J2715" s="35">
        <f t="shared" si="1285"/>
        <v>103855.20339000001</v>
      </c>
      <c r="K2715" s="35">
        <f t="shared" si="1285"/>
        <v>94822.321350000013</v>
      </c>
      <c r="L2715" s="35">
        <f t="shared" si="1261"/>
        <v>68.757067003121563</v>
      </c>
      <c r="M2715" s="35">
        <f t="shared" si="1262"/>
        <v>90.621372830847307</v>
      </c>
    </row>
    <row r="2716" spans="1:13" ht="63.75">
      <c r="A2716" s="59" t="s">
        <v>60</v>
      </c>
      <c r="B2716" s="28" t="s">
        <v>1032</v>
      </c>
      <c r="C2716" s="28" t="s">
        <v>17</v>
      </c>
      <c r="D2716" s="28" t="s">
        <v>150</v>
      </c>
      <c r="E2716" s="28" t="s">
        <v>1044</v>
      </c>
      <c r="F2716" s="28" t="s">
        <v>61</v>
      </c>
      <c r="G2716" s="35">
        <f>G2717</f>
        <v>102047</v>
      </c>
      <c r="H2716" s="35">
        <f t="shared" ref="H2716:K2716" si="1286">H2717</f>
        <v>102047</v>
      </c>
      <c r="I2716" s="35">
        <f t="shared" si="1286"/>
        <v>76735.514999999999</v>
      </c>
      <c r="J2716" s="35">
        <f t="shared" si="1286"/>
        <v>76535.514999999999</v>
      </c>
      <c r="K2716" s="35">
        <f t="shared" si="1286"/>
        <v>74693.801300000006</v>
      </c>
      <c r="L2716" s="35">
        <f t="shared" si="1261"/>
        <v>73.195489627328598</v>
      </c>
      <c r="M2716" s="35">
        <f t="shared" si="1262"/>
        <v>97.339284554225003</v>
      </c>
    </row>
    <row r="2717" spans="1:13" ht="25.5">
      <c r="A2717" s="59" t="s">
        <v>62</v>
      </c>
      <c r="B2717" s="28" t="s">
        <v>1032</v>
      </c>
      <c r="C2717" s="28" t="s">
        <v>17</v>
      </c>
      <c r="D2717" s="28" t="s">
        <v>150</v>
      </c>
      <c r="E2717" s="28" t="s">
        <v>1044</v>
      </c>
      <c r="F2717" s="28" t="s">
        <v>63</v>
      </c>
      <c r="G2717" s="35">
        <v>102047</v>
      </c>
      <c r="H2717" s="35">
        <f>48378.7+3901+28492.8+21274.5</f>
        <v>102047</v>
      </c>
      <c r="I2717" s="35">
        <f>36484.04+2926+21369.6+15955.875</f>
        <v>76735.514999999999</v>
      </c>
      <c r="J2717" s="35">
        <f>36284.04+2926+21369.6+15955.875</f>
        <v>76535.514999999999</v>
      </c>
      <c r="K2717" s="35">
        <f>35496.72011+2923.74822+20317.45996+15955.87301</f>
        <v>74693.801300000006</v>
      </c>
      <c r="L2717" s="35">
        <f t="shared" si="1261"/>
        <v>73.195489627328598</v>
      </c>
      <c r="M2717" s="35">
        <f t="shared" si="1262"/>
        <v>97.339284554225003</v>
      </c>
    </row>
    <row r="2718" spans="1:13" ht="25.5">
      <c r="A2718" s="59" t="s">
        <v>64</v>
      </c>
      <c r="B2718" s="28" t="s">
        <v>1032</v>
      </c>
      <c r="C2718" s="28" t="s">
        <v>17</v>
      </c>
      <c r="D2718" s="28" t="s">
        <v>150</v>
      </c>
      <c r="E2718" s="28" t="s">
        <v>1044</v>
      </c>
      <c r="F2718" s="28" t="s">
        <v>65</v>
      </c>
      <c r="G2718" s="35">
        <f>G2719</f>
        <v>35998.800000000003</v>
      </c>
      <c r="H2718" s="35">
        <f t="shared" ref="H2718:K2718" si="1287">H2719</f>
        <v>35814.400439999998</v>
      </c>
      <c r="I2718" s="35">
        <f t="shared" si="1287"/>
        <v>27862.34994</v>
      </c>
      <c r="J2718" s="35">
        <f t="shared" si="1287"/>
        <v>27283.838390000001</v>
      </c>
      <c r="K2718" s="35">
        <f t="shared" si="1287"/>
        <v>20098.80805</v>
      </c>
      <c r="L2718" s="35">
        <f t="shared" si="1261"/>
        <v>56.119348092038038</v>
      </c>
      <c r="M2718" s="35">
        <f t="shared" si="1262"/>
        <v>72.136083615637773</v>
      </c>
    </row>
    <row r="2719" spans="1:13" ht="25.5">
      <c r="A2719" s="59" t="s">
        <v>66</v>
      </c>
      <c r="B2719" s="28" t="s">
        <v>1032</v>
      </c>
      <c r="C2719" s="28" t="s">
        <v>17</v>
      </c>
      <c r="D2719" s="28" t="s">
        <v>150</v>
      </c>
      <c r="E2719" s="28" t="s">
        <v>1044</v>
      </c>
      <c r="F2719" s="28" t="s">
        <v>67</v>
      </c>
      <c r="G2719" s="35">
        <v>35998.800000000003</v>
      </c>
      <c r="H2719" s="35">
        <v>35814.400439999998</v>
      </c>
      <c r="I2719" s="35">
        <v>27862.34994</v>
      </c>
      <c r="J2719" s="35">
        <v>27283.838390000001</v>
      </c>
      <c r="K2719" s="35">
        <v>20098.80805</v>
      </c>
      <c r="L2719" s="35">
        <f t="shared" si="1261"/>
        <v>56.119348092038038</v>
      </c>
      <c r="M2719" s="35">
        <f t="shared" si="1262"/>
        <v>72.136083615637773</v>
      </c>
    </row>
    <row r="2720" spans="1:13">
      <c r="A2720" s="59" t="s">
        <v>72</v>
      </c>
      <c r="B2720" s="28" t="s">
        <v>1032</v>
      </c>
      <c r="C2720" s="28" t="s">
        <v>17</v>
      </c>
      <c r="D2720" s="28" t="s">
        <v>150</v>
      </c>
      <c r="E2720" s="28" t="s">
        <v>1044</v>
      </c>
      <c r="F2720" s="28" t="s">
        <v>73</v>
      </c>
      <c r="G2720" s="35">
        <f>G2722</f>
        <v>45.8</v>
      </c>
      <c r="H2720" s="35">
        <f>H2722+H2721</f>
        <v>47.8</v>
      </c>
      <c r="I2720" s="35">
        <f t="shared" ref="I2720:K2720" si="1288">I2722+I2721</f>
        <v>37.85</v>
      </c>
      <c r="J2720" s="35">
        <f t="shared" si="1288"/>
        <v>35.85</v>
      </c>
      <c r="K2720" s="35">
        <f t="shared" si="1288"/>
        <v>29.712</v>
      </c>
      <c r="L2720" s="35">
        <f t="shared" si="1261"/>
        <v>62.158995815899587</v>
      </c>
      <c r="M2720" s="35">
        <f t="shared" si="1262"/>
        <v>78.4993394980185</v>
      </c>
    </row>
    <row r="2721" spans="1:13">
      <c r="A2721" s="59" t="s">
        <v>84</v>
      </c>
      <c r="B2721" s="28" t="s">
        <v>1032</v>
      </c>
      <c r="C2721" s="28" t="s">
        <v>17</v>
      </c>
      <c r="D2721" s="28" t="s">
        <v>150</v>
      </c>
      <c r="E2721" s="28" t="s">
        <v>1044</v>
      </c>
      <c r="F2721" s="28">
        <v>830</v>
      </c>
      <c r="G2721" s="35"/>
      <c r="H2721" s="35">
        <v>2</v>
      </c>
      <c r="I2721" s="35">
        <v>2</v>
      </c>
      <c r="J2721" s="35">
        <v>2</v>
      </c>
      <c r="K2721" s="35">
        <v>2</v>
      </c>
      <c r="L2721" s="35">
        <f t="shared" si="1261"/>
        <v>100</v>
      </c>
      <c r="M2721" s="35">
        <f t="shared" si="1262"/>
        <v>100</v>
      </c>
    </row>
    <row r="2722" spans="1:13">
      <c r="A2722" s="59" t="s">
        <v>74</v>
      </c>
      <c r="B2722" s="28" t="s">
        <v>1032</v>
      </c>
      <c r="C2722" s="28" t="s">
        <v>17</v>
      </c>
      <c r="D2722" s="28" t="s">
        <v>150</v>
      </c>
      <c r="E2722" s="28" t="s">
        <v>1044</v>
      </c>
      <c r="F2722" s="28" t="s">
        <v>75</v>
      </c>
      <c r="G2722" s="35">
        <v>45.8</v>
      </c>
      <c r="H2722" s="35">
        <v>45.8</v>
      </c>
      <c r="I2722" s="35">
        <f>29.85+5+1</f>
        <v>35.85</v>
      </c>
      <c r="J2722" s="35">
        <f>29.85+3+1</f>
        <v>33.85</v>
      </c>
      <c r="K2722" s="35">
        <v>27.712</v>
      </c>
      <c r="L2722" s="35">
        <f t="shared" si="1261"/>
        <v>60.506550218340614</v>
      </c>
      <c r="M2722" s="35">
        <f t="shared" si="1262"/>
        <v>77.299860529986049</v>
      </c>
    </row>
    <row r="2723" spans="1:13" ht="38.25">
      <c r="A2723" s="59" t="s">
        <v>1045</v>
      </c>
      <c r="B2723" s="28" t="s">
        <v>1032</v>
      </c>
      <c r="C2723" s="28" t="s">
        <v>17</v>
      </c>
      <c r="D2723" s="28" t="s">
        <v>150</v>
      </c>
      <c r="E2723" s="28" t="s">
        <v>1046</v>
      </c>
      <c r="F2723" s="58" t="s">
        <v>0</v>
      </c>
      <c r="G2723" s="35">
        <f>G2724</f>
        <v>1319.4</v>
      </c>
      <c r="H2723" s="35">
        <f t="shared" ref="H2723:K2724" si="1289">H2724</f>
        <v>1319.4</v>
      </c>
      <c r="I2723" s="35">
        <f t="shared" si="1289"/>
        <v>750</v>
      </c>
      <c r="J2723" s="35">
        <f t="shared" si="1289"/>
        <v>300</v>
      </c>
      <c r="K2723" s="35">
        <f t="shared" si="1289"/>
        <v>173.78486000000001</v>
      </c>
      <c r="L2723" s="35">
        <f t="shared" ref="L2723:L2786" si="1290">K2723/H2723*100</f>
        <v>13.171506745490374</v>
      </c>
      <c r="M2723" s="35">
        <f t="shared" ref="M2723:M2786" si="1291">K2723/I2723*100</f>
        <v>23.171314666666667</v>
      </c>
    </row>
    <row r="2724" spans="1:13">
      <c r="A2724" s="59" t="s">
        <v>26</v>
      </c>
      <c r="B2724" s="28" t="s">
        <v>1032</v>
      </c>
      <c r="C2724" s="28" t="s">
        <v>17</v>
      </c>
      <c r="D2724" s="28" t="s">
        <v>150</v>
      </c>
      <c r="E2724" s="28" t="s">
        <v>1046</v>
      </c>
      <c r="F2724" s="28" t="s">
        <v>27</v>
      </c>
      <c r="G2724" s="35">
        <f>G2725</f>
        <v>1319.4</v>
      </c>
      <c r="H2724" s="35">
        <f t="shared" si="1289"/>
        <v>1319.4</v>
      </c>
      <c r="I2724" s="35">
        <f t="shared" si="1289"/>
        <v>750</v>
      </c>
      <c r="J2724" s="35">
        <f t="shared" si="1289"/>
        <v>300</v>
      </c>
      <c r="K2724" s="35">
        <f t="shared" si="1289"/>
        <v>173.78486000000001</v>
      </c>
      <c r="L2724" s="35">
        <f t="shared" si="1290"/>
        <v>13.171506745490374</v>
      </c>
      <c r="M2724" s="35">
        <f t="shared" si="1291"/>
        <v>23.171314666666667</v>
      </c>
    </row>
    <row r="2725" spans="1:13">
      <c r="A2725" s="59" t="s">
        <v>352</v>
      </c>
      <c r="B2725" s="28" t="s">
        <v>1032</v>
      </c>
      <c r="C2725" s="28" t="s">
        <v>17</v>
      </c>
      <c r="D2725" s="28" t="s">
        <v>150</v>
      </c>
      <c r="E2725" s="28" t="s">
        <v>1046</v>
      </c>
      <c r="F2725" s="28" t="s">
        <v>353</v>
      </c>
      <c r="G2725" s="35">
        <v>1319.4</v>
      </c>
      <c r="H2725" s="35">
        <v>1319.4</v>
      </c>
      <c r="I2725" s="35">
        <v>750</v>
      </c>
      <c r="J2725" s="35">
        <v>300</v>
      </c>
      <c r="K2725" s="35">
        <v>173.78486000000001</v>
      </c>
      <c r="L2725" s="35">
        <f t="shared" si="1290"/>
        <v>13.171506745490374</v>
      </c>
      <c r="M2725" s="35">
        <f t="shared" si="1291"/>
        <v>23.171314666666667</v>
      </c>
    </row>
    <row r="2726" spans="1:13" ht="18.75" customHeight="1">
      <c r="A2726" s="64" t="s">
        <v>0</v>
      </c>
      <c r="B2726" s="65" t="s">
        <v>0</v>
      </c>
      <c r="C2726" s="58" t="s">
        <v>0</v>
      </c>
      <c r="D2726" s="58" t="s">
        <v>0</v>
      </c>
      <c r="E2726" s="58" t="s">
        <v>0</v>
      </c>
      <c r="F2726" s="58" t="s">
        <v>0</v>
      </c>
      <c r="G2726" s="66" t="s">
        <v>0</v>
      </c>
      <c r="H2726" s="66" t="s">
        <v>0</v>
      </c>
      <c r="I2726" s="66" t="s">
        <v>0</v>
      </c>
      <c r="J2726" s="66" t="s">
        <v>0</v>
      </c>
      <c r="K2726" s="66" t="s">
        <v>0</v>
      </c>
      <c r="L2726" s="35"/>
      <c r="M2726" s="35"/>
    </row>
    <row r="2727" spans="1:13" ht="25.5">
      <c r="A2727" s="56" t="s">
        <v>1047</v>
      </c>
      <c r="B2727" s="57" t="s">
        <v>1048</v>
      </c>
      <c r="C2727" s="58" t="s">
        <v>0</v>
      </c>
      <c r="D2727" s="58" t="s">
        <v>0</v>
      </c>
      <c r="E2727" s="58" t="s">
        <v>0</v>
      </c>
      <c r="F2727" s="58" t="s">
        <v>0</v>
      </c>
      <c r="G2727" s="30">
        <f>G2728+G2745+G2771+G2792</f>
        <v>103683.8</v>
      </c>
      <c r="H2727" s="30">
        <f t="shared" ref="H2727:K2727" si="1292">H2728+H2745+H2771+H2792</f>
        <v>318011.00691</v>
      </c>
      <c r="I2727" s="30">
        <f t="shared" si="1292"/>
        <v>211041.073</v>
      </c>
      <c r="J2727" s="30">
        <f t="shared" si="1292"/>
        <v>210883.573</v>
      </c>
      <c r="K2727" s="30">
        <f t="shared" si="1292"/>
        <v>210439.99424999999</v>
      </c>
      <c r="L2727" s="30">
        <f t="shared" si="1290"/>
        <v>66.173808351720481</v>
      </c>
      <c r="M2727" s="30">
        <f t="shared" si="1291"/>
        <v>99.715183996434646</v>
      </c>
    </row>
    <row r="2728" spans="1:13">
      <c r="A2728" s="59" t="s">
        <v>16</v>
      </c>
      <c r="B2728" s="28" t="s">
        <v>1048</v>
      </c>
      <c r="C2728" s="28" t="s">
        <v>17</v>
      </c>
      <c r="D2728" s="58" t="s">
        <v>0</v>
      </c>
      <c r="E2728" s="58" t="s">
        <v>0</v>
      </c>
      <c r="F2728" s="58" t="s">
        <v>0</v>
      </c>
      <c r="G2728" s="35">
        <f>G2729</f>
        <v>24591.9</v>
      </c>
      <c r="H2728" s="35">
        <f t="shared" ref="H2728:K2729" si="1293">H2729</f>
        <v>22566.9522</v>
      </c>
      <c r="I2728" s="35">
        <f t="shared" si="1293"/>
        <v>15602.32242</v>
      </c>
      <c r="J2728" s="35">
        <f t="shared" si="1293"/>
        <v>15444.82242</v>
      </c>
      <c r="K2728" s="35">
        <f t="shared" si="1293"/>
        <v>15211.710169999998</v>
      </c>
      <c r="L2728" s="35">
        <f t="shared" si="1290"/>
        <v>67.40702082933467</v>
      </c>
      <c r="M2728" s="35">
        <f t="shared" si="1291"/>
        <v>97.496448031997517</v>
      </c>
    </row>
    <row r="2729" spans="1:13">
      <c r="A2729" s="59" t="s">
        <v>386</v>
      </c>
      <c r="B2729" s="28" t="s">
        <v>1048</v>
      </c>
      <c r="C2729" s="28" t="s">
        <v>17</v>
      </c>
      <c r="D2729" s="28" t="s">
        <v>387</v>
      </c>
      <c r="E2729" s="58" t="s">
        <v>0</v>
      </c>
      <c r="F2729" s="58" t="s">
        <v>0</v>
      </c>
      <c r="G2729" s="35">
        <f>G2730</f>
        <v>24591.9</v>
      </c>
      <c r="H2729" s="35">
        <f t="shared" si="1293"/>
        <v>22566.9522</v>
      </c>
      <c r="I2729" s="35">
        <f t="shared" si="1293"/>
        <v>15602.32242</v>
      </c>
      <c r="J2729" s="35">
        <f t="shared" si="1293"/>
        <v>15444.82242</v>
      </c>
      <c r="K2729" s="35">
        <f t="shared" si="1293"/>
        <v>15211.710169999998</v>
      </c>
      <c r="L2729" s="35">
        <f t="shared" si="1290"/>
        <v>67.40702082933467</v>
      </c>
      <c r="M2729" s="35">
        <f t="shared" si="1291"/>
        <v>97.496448031997517</v>
      </c>
    </row>
    <row r="2730" spans="1:13" ht="38.25">
      <c r="A2730" s="59" t="s">
        <v>1049</v>
      </c>
      <c r="B2730" s="28" t="s">
        <v>1048</v>
      </c>
      <c r="C2730" s="28" t="s">
        <v>17</v>
      </c>
      <c r="D2730" s="28" t="s">
        <v>387</v>
      </c>
      <c r="E2730" s="28" t="s">
        <v>1050</v>
      </c>
      <c r="F2730" s="58" t="s">
        <v>0</v>
      </c>
      <c r="G2730" s="35">
        <f>G2731+G2736+G2739</f>
        <v>24591.9</v>
      </c>
      <c r="H2730" s="35">
        <f t="shared" ref="H2730:K2730" si="1294">H2731+H2736+H2739</f>
        <v>22566.9522</v>
      </c>
      <c r="I2730" s="35">
        <f t="shared" si="1294"/>
        <v>15602.32242</v>
      </c>
      <c r="J2730" s="35">
        <f t="shared" si="1294"/>
        <v>15444.82242</v>
      </c>
      <c r="K2730" s="35">
        <f t="shared" si="1294"/>
        <v>15211.710169999998</v>
      </c>
      <c r="L2730" s="35">
        <f t="shared" si="1290"/>
        <v>67.40702082933467</v>
      </c>
      <c r="M2730" s="35">
        <f t="shared" si="1291"/>
        <v>97.496448031997517</v>
      </c>
    </row>
    <row r="2731" spans="1:13" ht="25.5">
      <c r="A2731" s="59" t="s">
        <v>58</v>
      </c>
      <c r="B2731" s="28" t="s">
        <v>1048</v>
      </c>
      <c r="C2731" s="28" t="s">
        <v>17</v>
      </c>
      <c r="D2731" s="28" t="s">
        <v>387</v>
      </c>
      <c r="E2731" s="28" t="s">
        <v>1051</v>
      </c>
      <c r="F2731" s="58" t="s">
        <v>0</v>
      </c>
      <c r="G2731" s="35">
        <f>G2732+G2734</f>
        <v>9703</v>
      </c>
      <c r="H2731" s="35">
        <f t="shared" ref="H2731:K2731" si="1295">H2732+H2734</f>
        <v>10702.999999999998</v>
      </c>
      <c r="I2731" s="35">
        <f t="shared" si="1295"/>
        <v>8765.2000000000007</v>
      </c>
      <c r="J2731" s="35">
        <f t="shared" si="1295"/>
        <v>8765.2000000000007</v>
      </c>
      <c r="K2731" s="35">
        <f t="shared" si="1295"/>
        <v>8532.0877499999988</v>
      </c>
      <c r="L2731" s="35">
        <f t="shared" si="1290"/>
        <v>79.716787349341317</v>
      </c>
      <c r="M2731" s="35">
        <f t="shared" si="1291"/>
        <v>97.340479966230063</v>
      </c>
    </row>
    <row r="2732" spans="1:13" ht="63.75">
      <c r="A2732" s="59" t="s">
        <v>60</v>
      </c>
      <c r="B2732" s="28" t="s">
        <v>1048</v>
      </c>
      <c r="C2732" s="28" t="s">
        <v>17</v>
      </c>
      <c r="D2732" s="28" t="s">
        <v>387</v>
      </c>
      <c r="E2732" s="28" t="s">
        <v>1051</v>
      </c>
      <c r="F2732" s="28" t="s">
        <v>61</v>
      </c>
      <c r="G2732" s="35">
        <f>G2733</f>
        <v>8570.2000000000007</v>
      </c>
      <c r="H2732" s="35">
        <f t="shared" ref="H2732:K2732" si="1296">H2733</f>
        <v>9570.1999999999989</v>
      </c>
      <c r="I2732" s="35">
        <f t="shared" si="1296"/>
        <v>7955.2</v>
      </c>
      <c r="J2732" s="35">
        <f t="shared" si="1296"/>
        <v>7955.2</v>
      </c>
      <c r="K2732" s="35">
        <f t="shared" si="1296"/>
        <v>7920.9154599999993</v>
      </c>
      <c r="L2732" s="35">
        <f t="shared" si="1290"/>
        <v>82.766456918350713</v>
      </c>
      <c r="M2732" s="35">
        <f t="shared" si="1291"/>
        <v>99.569029816975046</v>
      </c>
    </row>
    <row r="2733" spans="1:13" ht="25.5">
      <c r="A2733" s="59" t="s">
        <v>62</v>
      </c>
      <c r="B2733" s="28" t="s">
        <v>1048</v>
      </c>
      <c r="C2733" s="28" t="s">
        <v>17</v>
      </c>
      <c r="D2733" s="28" t="s">
        <v>387</v>
      </c>
      <c r="E2733" s="28" t="s">
        <v>1051</v>
      </c>
      <c r="F2733" s="28" t="s">
        <v>63</v>
      </c>
      <c r="G2733" s="35">
        <v>8570.2000000000007</v>
      </c>
      <c r="H2733" s="35">
        <f>6166+1890.9+1513.3</f>
        <v>9570.1999999999989</v>
      </c>
      <c r="I2733" s="35">
        <f>5086+1440.9+1428.3</f>
        <v>7955.2</v>
      </c>
      <c r="J2733" s="35">
        <f>5086+1440.9+1428.3</f>
        <v>7955.2</v>
      </c>
      <c r="K2733" s="35">
        <f>5085.93172+1420.6451+1414.33864</f>
        <v>7920.9154599999993</v>
      </c>
      <c r="L2733" s="35">
        <f t="shared" si="1290"/>
        <v>82.766456918350713</v>
      </c>
      <c r="M2733" s="35">
        <f t="shared" si="1291"/>
        <v>99.569029816975046</v>
      </c>
    </row>
    <row r="2734" spans="1:13" ht="25.5">
      <c r="A2734" s="59" t="s">
        <v>64</v>
      </c>
      <c r="B2734" s="28" t="s">
        <v>1048</v>
      </c>
      <c r="C2734" s="28" t="s">
        <v>17</v>
      </c>
      <c r="D2734" s="28" t="s">
        <v>387</v>
      </c>
      <c r="E2734" s="28" t="s">
        <v>1051</v>
      </c>
      <c r="F2734" s="28" t="s">
        <v>65</v>
      </c>
      <c r="G2734" s="35">
        <f>G2735</f>
        <v>1132.8</v>
      </c>
      <c r="H2734" s="35">
        <f t="shared" ref="H2734:K2734" si="1297">H2735</f>
        <v>1132.8</v>
      </c>
      <c r="I2734" s="35">
        <f t="shared" si="1297"/>
        <v>810</v>
      </c>
      <c r="J2734" s="35">
        <f t="shared" si="1297"/>
        <v>810</v>
      </c>
      <c r="K2734" s="35">
        <f t="shared" si="1297"/>
        <v>611.17228999999998</v>
      </c>
      <c r="L2734" s="35">
        <f t="shared" si="1290"/>
        <v>53.952356108757058</v>
      </c>
      <c r="M2734" s="35">
        <f t="shared" si="1291"/>
        <v>75.453369135802461</v>
      </c>
    </row>
    <row r="2735" spans="1:13" ht="25.5">
      <c r="A2735" s="59" t="s">
        <v>66</v>
      </c>
      <c r="B2735" s="28" t="s">
        <v>1048</v>
      </c>
      <c r="C2735" s="28" t="s">
        <v>17</v>
      </c>
      <c r="D2735" s="28" t="s">
        <v>387</v>
      </c>
      <c r="E2735" s="28" t="s">
        <v>1051</v>
      </c>
      <c r="F2735" s="28" t="s">
        <v>67</v>
      </c>
      <c r="G2735" s="35">
        <v>1132.8</v>
      </c>
      <c r="H2735" s="35">
        <v>1132.8</v>
      </c>
      <c r="I2735" s="35">
        <v>810</v>
      </c>
      <c r="J2735" s="35">
        <v>810</v>
      </c>
      <c r="K2735" s="35">
        <v>611.17228999999998</v>
      </c>
      <c r="L2735" s="35">
        <f t="shared" si="1290"/>
        <v>53.952356108757058</v>
      </c>
      <c r="M2735" s="35">
        <f t="shared" si="1291"/>
        <v>75.453369135802461</v>
      </c>
    </row>
    <row r="2736" spans="1:13" ht="38.25">
      <c r="A2736" s="59" t="s">
        <v>37</v>
      </c>
      <c r="B2736" s="28" t="s">
        <v>1048</v>
      </c>
      <c r="C2736" s="28" t="s">
        <v>17</v>
      </c>
      <c r="D2736" s="28" t="s">
        <v>387</v>
      </c>
      <c r="E2736" s="28" t="s">
        <v>1052</v>
      </c>
      <c r="F2736" s="58" t="s">
        <v>0</v>
      </c>
      <c r="G2736" s="35">
        <f>G2737</f>
        <v>7576.9</v>
      </c>
      <c r="H2736" s="35">
        <f t="shared" ref="H2736:K2737" si="1298">H2737</f>
        <v>5551.9521999999997</v>
      </c>
      <c r="I2736" s="35">
        <f t="shared" si="1298"/>
        <v>525.12242000000003</v>
      </c>
      <c r="J2736" s="35">
        <f t="shared" si="1298"/>
        <v>525.12242000000003</v>
      </c>
      <c r="K2736" s="35">
        <f t="shared" si="1298"/>
        <v>525.12242000000003</v>
      </c>
      <c r="L2736" s="35">
        <f t="shared" si="1290"/>
        <v>9.4583382760391945</v>
      </c>
      <c r="M2736" s="35">
        <f t="shared" si="1291"/>
        <v>100</v>
      </c>
    </row>
    <row r="2737" spans="1:13" ht="25.5">
      <c r="A2737" s="59" t="s">
        <v>39</v>
      </c>
      <c r="B2737" s="28" t="s">
        <v>1048</v>
      </c>
      <c r="C2737" s="28" t="s">
        <v>17</v>
      </c>
      <c r="D2737" s="28" t="s">
        <v>387</v>
      </c>
      <c r="E2737" s="28" t="s">
        <v>1052</v>
      </c>
      <c r="F2737" s="28" t="s">
        <v>40</v>
      </c>
      <c r="G2737" s="35">
        <f>G2738</f>
        <v>7576.9</v>
      </c>
      <c r="H2737" s="35">
        <f t="shared" si="1298"/>
        <v>5551.9521999999997</v>
      </c>
      <c r="I2737" s="35">
        <f t="shared" si="1298"/>
        <v>525.12242000000003</v>
      </c>
      <c r="J2737" s="35">
        <f t="shared" si="1298"/>
        <v>525.12242000000003</v>
      </c>
      <c r="K2737" s="35">
        <f t="shared" si="1298"/>
        <v>525.12242000000003</v>
      </c>
      <c r="L2737" s="35">
        <f t="shared" si="1290"/>
        <v>9.4583382760391945</v>
      </c>
      <c r="M2737" s="35">
        <f t="shared" si="1291"/>
        <v>100</v>
      </c>
    </row>
    <row r="2738" spans="1:13">
      <c r="A2738" s="59" t="s">
        <v>41</v>
      </c>
      <c r="B2738" s="28" t="s">
        <v>1048</v>
      </c>
      <c r="C2738" s="28" t="s">
        <v>17</v>
      </c>
      <c r="D2738" s="28" t="s">
        <v>387</v>
      </c>
      <c r="E2738" s="28" t="s">
        <v>1052</v>
      </c>
      <c r="F2738" s="28" t="s">
        <v>42</v>
      </c>
      <c r="G2738" s="35">
        <v>7576.9</v>
      </c>
      <c r="H2738" s="35">
        <v>5551.9521999999997</v>
      </c>
      <c r="I2738" s="35">
        <v>525.12242000000003</v>
      </c>
      <c r="J2738" s="35">
        <v>525.12242000000003</v>
      </c>
      <c r="K2738" s="35">
        <v>525.12242000000003</v>
      </c>
      <c r="L2738" s="35">
        <f t="shared" si="1290"/>
        <v>9.4583382760391945</v>
      </c>
      <c r="M2738" s="35">
        <f t="shared" si="1291"/>
        <v>100</v>
      </c>
    </row>
    <row r="2739" spans="1:13" ht="25.5">
      <c r="A2739" s="59" t="s">
        <v>617</v>
      </c>
      <c r="B2739" s="28" t="s">
        <v>1048</v>
      </c>
      <c r="C2739" s="28" t="s">
        <v>17</v>
      </c>
      <c r="D2739" s="28" t="s">
        <v>387</v>
      </c>
      <c r="E2739" s="28" t="s">
        <v>1053</v>
      </c>
      <c r="F2739" s="58" t="s">
        <v>0</v>
      </c>
      <c r="G2739" s="35">
        <f>G2740+G2742</f>
        <v>7312</v>
      </c>
      <c r="H2739" s="35">
        <f t="shared" ref="H2739:K2739" si="1299">H2740+H2742</f>
        <v>6312</v>
      </c>
      <c r="I2739" s="35">
        <f t="shared" si="1299"/>
        <v>6312</v>
      </c>
      <c r="J2739" s="35">
        <f t="shared" si="1299"/>
        <v>6154.5</v>
      </c>
      <c r="K2739" s="35">
        <f t="shared" si="1299"/>
        <v>6154.5</v>
      </c>
      <c r="L2739" s="35">
        <f t="shared" si="1290"/>
        <v>97.504752851711032</v>
      </c>
      <c r="M2739" s="35">
        <f t="shared" si="1291"/>
        <v>97.504752851711032</v>
      </c>
    </row>
    <row r="2740" spans="1:13" ht="25.5">
      <c r="A2740" s="59" t="s">
        <v>64</v>
      </c>
      <c r="B2740" s="28" t="s">
        <v>1048</v>
      </c>
      <c r="C2740" s="28" t="s">
        <v>17</v>
      </c>
      <c r="D2740" s="28" t="s">
        <v>387</v>
      </c>
      <c r="E2740" s="28" t="s">
        <v>1053</v>
      </c>
      <c r="F2740" s="28" t="s">
        <v>65</v>
      </c>
      <c r="G2740" s="35">
        <f>G2741</f>
        <v>5612</v>
      </c>
      <c r="H2740" s="35">
        <f t="shared" ref="H2740:K2740" si="1300">H2741</f>
        <v>4612</v>
      </c>
      <c r="I2740" s="35">
        <f t="shared" si="1300"/>
        <v>4612</v>
      </c>
      <c r="J2740" s="35">
        <f t="shared" si="1300"/>
        <v>4454.5</v>
      </c>
      <c r="K2740" s="35">
        <f t="shared" si="1300"/>
        <v>4454.5</v>
      </c>
      <c r="L2740" s="35">
        <f t="shared" si="1290"/>
        <v>96.584995663486566</v>
      </c>
      <c r="M2740" s="35">
        <f t="shared" si="1291"/>
        <v>96.584995663486566</v>
      </c>
    </row>
    <row r="2741" spans="1:13" ht="25.5">
      <c r="A2741" s="59" t="s">
        <v>66</v>
      </c>
      <c r="B2741" s="28" t="s">
        <v>1048</v>
      </c>
      <c r="C2741" s="28" t="s">
        <v>17</v>
      </c>
      <c r="D2741" s="28" t="s">
        <v>387</v>
      </c>
      <c r="E2741" s="28" t="s">
        <v>1053</v>
      </c>
      <c r="F2741" s="28" t="s">
        <v>67</v>
      </c>
      <c r="G2741" s="35">
        <v>5612</v>
      </c>
      <c r="H2741" s="35">
        <v>4612</v>
      </c>
      <c r="I2741" s="35">
        <v>4612</v>
      </c>
      <c r="J2741" s="35">
        <v>4454.5</v>
      </c>
      <c r="K2741" s="35">
        <v>4454.5</v>
      </c>
      <c r="L2741" s="35">
        <f t="shared" si="1290"/>
        <v>96.584995663486566</v>
      </c>
      <c r="M2741" s="35">
        <f t="shared" si="1291"/>
        <v>96.584995663486566</v>
      </c>
    </row>
    <row r="2742" spans="1:13" ht="25.5">
      <c r="A2742" s="59" t="s">
        <v>80</v>
      </c>
      <c r="B2742" s="28" t="s">
        <v>1048</v>
      </c>
      <c r="C2742" s="28" t="s">
        <v>17</v>
      </c>
      <c r="D2742" s="28" t="s">
        <v>387</v>
      </c>
      <c r="E2742" s="28" t="s">
        <v>1053</v>
      </c>
      <c r="F2742" s="28" t="s">
        <v>81</v>
      </c>
      <c r="G2742" s="35">
        <f>G2743</f>
        <v>1700</v>
      </c>
      <c r="H2742" s="35">
        <f t="shared" ref="H2742:K2742" si="1301">H2743</f>
        <v>1700</v>
      </c>
      <c r="I2742" s="35">
        <f t="shared" si="1301"/>
        <v>1700</v>
      </c>
      <c r="J2742" s="35">
        <f t="shared" si="1301"/>
        <v>1700</v>
      </c>
      <c r="K2742" s="35">
        <f t="shared" si="1301"/>
        <v>1700</v>
      </c>
      <c r="L2742" s="35">
        <f t="shared" si="1290"/>
        <v>100</v>
      </c>
      <c r="M2742" s="35">
        <f t="shared" si="1291"/>
        <v>100</v>
      </c>
    </row>
    <row r="2743" spans="1:13" ht="38.25">
      <c r="A2743" s="59" t="s">
        <v>195</v>
      </c>
      <c r="B2743" s="28" t="s">
        <v>1048</v>
      </c>
      <c r="C2743" s="28" t="s">
        <v>17</v>
      </c>
      <c r="D2743" s="28" t="s">
        <v>387</v>
      </c>
      <c r="E2743" s="28" t="s">
        <v>1053</v>
      </c>
      <c r="F2743" s="28" t="s">
        <v>196</v>
      </c>
      <c r="G2743" s="35">
        <v>1700</v>
      </c>
      <c r="H2743" s="35">
        <v>1700</v>
      </c>
      <c r="I2743" s="35">
        <v>1700</v>
      </c>
      <c r="J2743" s="35">
        <v>1700</v>
      </c>
      <c r="K2743" s="35">
        <v>1700</v>
      </c>
      <c r="L2743" s="35">
        <f t="shared" si="1290"/>
        <v>100</v>
      </c>
      <c r="M2743" s="35">
        <f t="shared" si="1291"/>
        <v>100</v>
      </c>
    </row>
    <row r="2744" spans="1:13" ht="17.25" customHeight="1">
      <c r="A2744" s="60" t="s">
        <v>0</v>
      </c>
      <c r="B2744" s="58" t="s">
        <v>0</v>
      </c>
      <c r="C2744" s="58" t="s">
        <v>0</v>
      </c>
      <c r="D2744" s="58" t="s">
        <v>0</v>
      </c>
      <c r="E2744" s="58" t="s">
        <v>0</v>
      </c>
      <c r="F2744" s="58" t="s">
        <v>0</v>
      </c>
      <c r="G2744" s="61" t="s">
        <v>0</v>
      </c>
      <c r="H2744" s="61" t="s">
        <v>0</v>
      </c>
      <c r="I2744" s="61" t="s">
        <v>0</v>
      </c>
      <c r="J2744" s="61" t="s">
        <v>0</v>
      </c>
      <c r="K2744" s="61" t="s">
        <v>0</v>
      </c>
      <c r="L2744" s="35"/>
      <c r="M2744" s="35"/>
    </row>
    <row r="2745" spans="1:13">
      <c r="A2745" s="59" t="s">
        <v>30</v>
      </c>
      <c r="B2745" s="28" t="s">
        <v>1048</v>
      </c>
      <c r="C2745" s="28" t="s">
        <v>19</v>
      </c>
      <c r="D2745" s="58" t="s">
        <v>0</v>
      </c>
      <c r="E2745" s="58" t="s">
        <v>0</v>
      </c>
      <c r="F2745" s="58" t="s">
        <v>0</v>
      </c>
      <c r="G2745" s="35">
        <f>G2746+G2751+G2756+G2761</f>
        <v>20147.900000000001</v>
      </c>
      <c r="H2745" s="35">
        <f t="shared" ref="H2745:K2745" si="1302">H2746+H2751+H2756+H2761</f>
        <v>22172.799999999999</v>
      </c>
      <c r="I2745" s="35">
        <f t="shared" si="1302"/>
        <v>6314.03</v>
      </c>
      <c r="J2745" s="35">
        <f t="shared" si="1302"/>
        <v>6314.03</v>
      </c>
      <c r="K2745" s="35">
        <f t="shared" si="1302"/>
        <v>6103.5635000000011</v>
      </c>
      <c r="L2745" s="35">
        <f t="shared" si="1290"/>
        <v>27.527256368162799</v>
      </c>
      <c r="M2745" s="35">
        <f t="shared" si="1291"/>
        <v>96.666685144036407</v>
      </c>
    </row>
    <row r="2746" spans="1:13">
      <c r="A2746" s="59" t="s">
        <v>174</v>
      </c>
      <c r="B2746" s="28" t="s">
        <v>1048</v>
      </c>
      <c r="C2746" s="28" t="s">
        <v>19</v>
      </c>
      <c r="D2746" s="28" t="s">
        <v>106</v>
      </c>
      <c r="E2746" s="58" t="s">
        <v>0</v>
      </c>
      <c r="F2746" s="58" t="s">
        <v>0</v>
      </c>
      <c r="G2746" s="35">
        <f>G2747</f>
        <v>8000</v>
      </c>
      <c r="H2746" s="35">
        <f t="shared" ref="H2746:K2749" si="1303">H2747</f>
        <v>6000</v>
      </c>
      <c r="I2746" s="35">
        <f t="shared" si="1303"/>
        <v>0</v>
      </c>
      <c r="J2746" s="35">
        <f t="shared" si="1303"/>
        <v>0</v>
      </c>
      <c r="K2746" s="35">
        <f t="shared" si="1303"/>
        <v>0</v>
      </c>
      <c r="L2746" s="35">
        <f t="shared" si="1290"/>
        <v>0</v>
      </c>
      <c r="M2746" s="35">
        <v>0</v>
      </c>
    </row>
    <row r="2747" spans="1:13" ht="38.25">
      <c r="A2747" s="59" t="s">
        <v>1049</v>
      </c>
      <c r="B2747" s="28" t="s">
        <v>1048</v>
      </c>
      <c r="C2747" s="28" t="s">
        <v>19</v>
      </c>
      <c r="D2747" s="28" t="s">
        <v>106</v>
      </c>
      <c r="E2747" s="28" t="s">
        <v>1050</v>
      </c>
      <c r="F2747" s="58" t="s">
        <v>0</v>
      </c>
      <c r="G2747" s="35">
        <f>G2748</f>
        <v>8000</v>
      </c>
      <c r="H2747" s="35">
        <f t="shared" si="1303"/>
        <v>6000</v>
      </c>
      <c r="I2747" s="35">
        <f t="shared" si="1303"/>
        <v>0</v>
      </c>
      <c r="J2747" s="35">
        <f t="shared" si="1303"/>
        <v>0</v>
      </c>
      <c r="K2747" s="35">
        <f t="shared" si="1303"/>
        <v>0</v>
      </c>
      <c r="L2747" s="35">
        <f t="shared" si="1290"/>
        <v>0</v>
      </c>
      <c r="M2747" s="35">
        <v>0</v>
      </c>
    </row>
    <row r="2748" spans="1:13" ht="25.5">
      <c r="A2748" s="59" t="s">
        <v>76</v>
      </c>
      <c r="B2748" s="28" t="s">
        <v>1048</v>
      </c>
      <c r="C2748" s="28" t="s">
        <v>19</v>
      </c>
      <c r="D2748" s="28" t="s">
        <v>106</v>
      </c>
      <c r="E2748" s="28" t="s">
        <v>1054</v>
      </c>
      <c r="F2748" s="58" t="s">
        <v>0</v>
      </c>
      <c r="G2748" s="35">
        <f>G2749</f>
        <v>8000</v>
      </c>
      <c r="H2748" s="35">
        <f t="shared" si="1303"/>
        <v>6000</v>
      </c>
      <c r="I2748" s="35">
        <f t="shared" si="1303"/>
        <v>0</v>
      </c>
      <c r="J2748" s="35">
        <f t="shared" si="1303"/>
        <v>0</v>
      </c>
      <c r="K2748" s="35">
        <f t="shared" si="1303"/>
        <v>0</v>
      </c>
      <c r="L2748" s="35">
        <f t="shared" si="1290"/>
        <v>0</v>
      </c>
      <c r="M2748" s="35">
        <v>0</v>
      </c>
    </row>
    <row r="2749" spans="1:13" ht="25.5">
      <c r="A2749" s="59" t="s">
        <v>64</v>
      </c>
      <c r="B2749" s="28" t="s">
        <v>1048</v>
      </c>
      <c r="C2749" s="28" t="s">
        <v>19</v>
      </c>
      <c r="D2749" s="28" t="s">
        <v>106</v>
      </c>
      <c r="E2749" s="28" t="s">
        <v>1054</v>
      </c>
      <c r="F2749" s="28" t="s">
        <v>65</v>
      </c>
      <c r="G2749" s="35">
        <f>G2750</f>
        <v>8000</v>
      </c>
      <c r="H2749" s="35">
        <f t="shared" si="1303"/>
        <v>6000</v>
      </c>
      <c r="I2749" s="35">
        <f t="shared" si="1303"/>
        <v>0</v>
      </c>
      <c r="J2749" s="35">
        <f t="shared" si="1303"/>
        <v>0</v>
      </c>
      <c r="K2749" s="35">
        <f t="shared" si="1303"/>
        <v>0</v>
      </c>
      <c r="L2749" s="35">
        <f t="shared" si="1290"/>
        <v>0</v>
      </c>
      <c r="M2749" s="35">
        <v>0</v>
      </c>
    </row>
    <row r="2750" spans="1:13" ht="25.5">
      <c r="A2750" s="59" t="s">
        <v>66</v>
      </c>
      <c r="B2750" s="28" t="s">
        <v>1048</v>
      </c>
      <c r="C2750" s="28" t="s">
        <v>19</v>
      </c>
      <c r="D2750" s="28" t="s">
        <v>106</v>
      </c>
      <c r="E2750" s="28" t="s">
        <v>1054</v>
      </c>
      <c r="F2750" s="28" t="s">
        <v>67</v>
      </c>
      <c r="G2750" s="35">
        <v>8000</v>
      </c>
      <c r="H2750" s="35">
        <v>6000</v>
      </c>
      <c r="I2750" s="35">
        <v>0</v>
      </c>
      <c r="J2750" s="35">
        <v>0</v>
      </c>
      <c r="K2750" s="35">
        <v>0</v>
      </c>
      <c r="L2750" s="35">
        <f t="shared" si="1290"/>
        <v>0</v>
      </c>
      <c r="M2750" s="35">
        <v>0</v>
      </c>
    </row>
    <row r="2751" spans="1:13">
      <c r="A2751" s="59" t="s">
        <v>671</v>
      </c>
      <c r="B2751" s="28" t="s">
        <v>1048</v>
      </c>
      <c r="C2751" s="28" t="s">
        <v>19</v>
      </c>
      <c r="D2751" s="28" t="s">
        <v>130</v>
      </c>
      <c r="E2751" s="58" t="s">
        <v>0</v>
      </c>
      <c r="F2751" s="58" t="s">
        <v>0</v>
      </c>
      <c r="G2751" s="35">
        <f>G2752</f>
        <v>2500</v>
      </c>
      <c r="H2751" s="35">
        <f t="shared" ref="H2751:K2754" si="1304">H2752</f>
        <v>0</v>
      </c>
      <c r="I2751" s="35">
        <f t="shared" si="1304"/>
        <v>0</v>
      </c>
      <c r="J2751" s="35">
        <f t="shared" si="1304"/>
        <v>0</v>
      </c>
      <c r="K2751" s="35">
        <f t="shared" si="1304"/>
        <v>0</v>
      </c>
      <c r="L2751" s="35">
        <v>0</v>
      </c>
      <c r="M2751" s="35">
        <v>0</v>
      </c>
    </row>
    <row r="2752" spans="1:13" ht="38.25">
      <c r="A2752" s="59" t="s">
        <v>1049</v>
      </c>
      <c r="B2752" s="28" t="s">
        <v>1048</v>
      </c>
      <c r="C2752" s="28" t="s">
        <v>19</v>
      </c>
      <c r="D2752" s="28" t="s">
        <v>130</v>
      </c>
      <c r="E2752" s="28" t="s">
        <v>1050</v>
      </c>
      <c r="F2752" s="58" t="s">
        <v>0</v>
      </c>
      <c r="G2752" s="35">
        <f>G2753</f>
        <v>2500</v>
      </c>
      <c r="H2752" s="35">
        <f t="shared" si="1304"/>
        <v>0</v>
      </c>
      <c r="I2752" s="35">
        <f t="shared" si="1304"/>
        <v>0</v>
      </c>
      <c r="J2752" s="35">
        <f t="shared" si="1304"/>
        <v>0</v>
      </c>
      <c r="K2752" s="35">
        <f t="shared" si="1304"/>
        <v>0</v>
      </c>
      <c r="L2752" s="35">
        <v>0</v>
      </c>
      <c r="M2752" s="35">
        <v>0</v>
      </c>
    </row>
    <row r="2753" spans="1:13" ht="38.25">
      <c r="A2753" s="59" t="s">
        <v>37</v>
      </c>
      <c r="B2753" s="28" t="s">
        <v>1048</v>
      </c>
      <c r="C2753" s="28" t="s">
        <v>19</v>
      </c>
      <c r="D2753" s="28" t="s">
        <v>130</v>
      </c>
      <c r="E2753" s="28" t="s">
        <v>1052</v>
      </c>
      <c r="F2753" s="58" t="s">
        <v>0</v>
      </c>
      <c r="G2753" s="35">
        <f>G2754</f>
        <v>2500</v>
      </c>
      <c r="H2753" s="35">
        <f t="shared" si="1304"/>
        <v>0</v>
      </c>
      <c r="I2753" s="35">
        <f t="shared" si="1304"/>
        <v>0</v>
      </c>
      <c r="J2753" s="35">
        <f t="shared" si="1304"/>
        <v>0</v>
      </c>
      <c r="K2753" s="35">
        <f t="shared" si="1304"/>
        <v>0</v>
      </c>
      <c r="L2753" s="35">
        <v>0</v>
      </c>
      <c r="M2753" s="35">
        <v>0</v>
      </c>
    </row>
    <row r="2754" spans="1:13" ht="25.5">
      <c r="A2754" s="59" t="s">
        <v>39</v>
      </c>
      <c r="B2754" s="28" t="s">
        <v>1048</v>
      </c>
      <c r="C2754" s="28" t="s">
        <v>19</v>
      </c>
      <c r="D2754" s="28" t="s">
        <v>130</v>
      </c>
      <c r="E2754" s="28" t="s">
        <v>1052</v>
      </c>
      <c r="F2754" s="28" t="s">
        <v>40</v>
      </c>
      <c r="G2754" s="35">
        <f>G2755</f>
        <v>2500</v>
      </c>
      <c r="H2754" s="35">
        <f t="shared" si="1304"/>
        <v>0</v>
      </c>
      <c r="I2754" s="35">
        <f t="shared" si="1304"/>
        <v>0</v>
      </c>
      <c r="J2754" s="35">
        <f t="shared" si="1304"/>
        <v>0</v>
      </c>
      <c r="K2754" s="35">
        <f t="shared" si="1304"/>
        <v>0</v>
      </c>
      <c r="L2754" s="35">
        <v>0</v>
      </c>
      <c r="M2754" s="35">
        <v>0</v>
      </c>
    </row>
    <row r="2755" spans="1:13">
      <c r="A2755" s="59" t="s">
        <v>41</v>
      </c>
      <c r="B2755" s="28" t="s">
        <v>1048</v>
      </c>
      <c r="C2755" s="28" t="s">
        <v>19</v>
      </c>
      <c r="D2755" s="28" t="s">
        <v>130</v>
      </c>
      <c r="E2755" s="28" t="s">
        <v>1052</v>
      </c>
      <c r="F2755" s="28" t="s">
        <v>42</v>
      </c>
      <c r="G2755" s="35">
        <v>2500</v>
      </c>
      <c r="H2755" s="35">
        <v>0</v>
      </c>
      <c r="I2755" s="35">
        <v>0</v>
      </c>
      <c r="J2755" s="35">
        <v>0</v>
      </c>
      <c r="K2755" s="35">
        <v>0</v>
      </c>
      <c r="L2755" s="35">
        <v>0</v>
      </c>
      <c r="M2755" s="35">
        <v>0</v>
      </c>
    </row>
    <row r="2756" spans="1:13">
      <c r="A2756" s="59" t="s">
        <v>45</v>
      </c>
      <c r="B2756" s="28" t="s">
        <v>1048</v>
      </c>
      <c r="C2756" s="28" t="s">
        <v>19</v>
      </c>
      <c r="D2756" s="28" t="s">
        <v>46</v>
      </c>
      <c r="E2756" s="58" t="s">
        <v>0</v>
      </c>
      <c r="F2756" s="58" t="s">
        <v>0</v>
      </c>
      <c r="G2756" s="35">
        <f>G2757</f>
        <v>2200</v>
      </c>
      <c r="H2756" s="35">
        <f t="shared" ref="H2756:K2759" si="1305">H2757</f>
        <v>2200</v>
      </c>
      <c r="I2756" s="35">
        <f t="shared" si="1305"/>
        <v>0</v>
      </c>
      <c r="J2756" s="35">
        <f t="shared" si="1305"/>
        <v>0</v>
      </c>
      <c r="K2756" s="35">
        <f t="shared" si="1305"/>
        <v>0</v>
      </c>
      <c r="L2756" s="35">
        <f t="shared" si="1290"/>
        <v>0</v>
      </c>
      <c r="M2756" s="35">
        <v>0</v>
      </c>
    </row>
    <row r="2757" spans="1:13" ht="38.25">
      <c r="A2757" s="59" t="s">
        <v>1049</v>
      </c>
      <c r="B2757" s="28" t="s">
        <v>1048</v>
      </c>
      <c r="C2757" s="28" t="s">
        <v>19</v>
      </c>
      <c r="D2757" s="28" t="s">
        <v>46</v>
      </c>
      <c r="E2757" s="28" t="s">
        <v>1050</v>
      </c>
      <c r="F2757" s="58" t="s">
        <v>0</v>
      </c>
      <c r="G2757" s="35">
        <f>G2758</f>
        <v>2200</v>
      </c>
      <c r="H2757" s="35">
        <f t="shared" si="1305"/>
        <v>2200</v>
      </c>
      <c r="I2757" s="35">
        <f t="shared" si="1305"/>
        <v>0</v>
      </c>
      <c r="J2757" s="35">
        <f t="shared" si="1305"/>
        <v>0</v>
      </c>
      <c r="K2757" s="35">
        <f t="shared" si="1305"/>
        <v>0</v>
      </c>
      <c r="L2757" s="35">
        <f t="shared" si="1290"/>
        <v>0</v>
      </c>
      <c r="M2757" s="35">
        <v>0</v>
      </c>
    </row>
    <row r="2758" spans="1:13" ht="25.5">
      <c r="A2758" s="59" t="s">
        <v>76</v>
      </c>
      <c r="B2758" s="28" t="s">
        <v>1048</v>
      </c>
      <c r="C2758" s="28" t="s">
        <v>19</v>
      </c>
      <c r="D2758" s="28" t="s">
        <v>46</v>
      </c>
      <c r="E2758" s="28" t="s">
        <v>1054</v>
      </c>
      <c r="F2758" s="58" t="s">
        <v>0</v>
      </c>
      <c r="G2758" s="35">
        <f>G2759</f>
        <v>2200</v>
      </c>
      <c r="H2758" s="35">
        <f t="shared" si="1305"/>
        <v>2200</v>
      </c>
      <c r="I2758" s="35">
        <f t="shared" si="1305"/>
        <v>0</v>
      </c>
      <c r="J2758" s="35">
        <f t="shared" si="1305"/>
        <v>0</v>
      </c>
      <c r="K2758" s="35">
        <f t="shared" si="1305"/>
        <v>0</v>
      </c>
      <c r="L2758" s="35">
        <f t="shared" si="1290"/>
        <v>0</v>
      </c>
      <c r="M2758" s="35">
        <v>0</v>
      </c>
    </row>
    <row r="2759" spans="1:13" ht="25.5">
      <c r="A2759" s="59" t="s">
        <v>64</v>
      </c>
      <c r="B2759" s="28" t="s">
        <v>1048</v>
      </c>
      <c r="C2759" s="28" t="s">
        <v>19</v>
      </c>
      <c r="D2759" s="28" t="s">
        <v>46</v>
      </c>
      <c r="E2759" s="28" t="s">
        <v>1054</v>
      </c>
      <c r="F2759" s="28" t="s">
        <v>65</v>
      </c>
      <c r="G2759" s="35">
        <f>G2760</f>
        <v>2200</v>
      </c>
      <c r="H2759" s="35">
        <f t="shared" si="1305"/>
        <v>2200</v>
      </c>
      <c r="I2759" s="35">
        <f t="shared" si="1305"/>
        <v>0</v>
      </c>
      <c r="J2759" s="35">
        <f t="shared" si="1305"/>
        <v>0</v>
      </c>
      <c r="K2759" s="35">
        <f t="shared" si="1305"/>
        <v>0</v>
      </c>
      <c r="L2759" s="35">
        <f t="shared" si="1290"/>
        <v>0</v>
      </c>
      <c r="M2759" s="35">
        <v>0</v>
      </c>
    </row>
    <row r="2760" spans="1:13" ht="25.5">
      <c r="A2760" s="59" t="s">
        <v>66</v>
      </c>
      <c r="B2760" s="28" t="s">
        <v>1048</v>
      </c>
      <c r="C2760" s="28" t="s">
        <v>19</v>
      </c>
      <c r="D2760" s="28" t="s">
        <v>46</v>
      </c>
      <c r="E2760" s="28" t="s">
        <v>1054</v>
      </c>
      <c r="F2760" s="28" t="s">
        <v>67</v>
      </c>
      <c r="G2760" s="35">
        <v>2200</v>
      </c>
      <c r="H2760" s="35">
        <v>2200</v>
      </c>
      <c r="I2760" s="35">
        <v>0</v>
      </c>
      <c r="J2760" s="35">
        <v>0</v>
      </c>
      <c r="K2760" s="35">
        <v>0</v>
      </c>
      <c r="L2760" s="35">
        <f t="shared" si="1290"/>
        <v>0</v>
      </c>
      <c r="M2760" s="35">
        <v>0</v>
      </c>
    </row>
    <row r="2761" spans="1:13">
      <c r="A2761" s="59" t="s">
        <v>50</v>
      </c>
      <c r="B2761" s="28" t="s">
        <v>1048</v>
      </c>
      <c r="C2761" s="28" t="s">
        <v>19</v>
      </c>
      <c r="D2761" s="28" t="s">
        <v>51</v>
      </c>
      <c r="E2761" s="58" t="s">
        <v>0</v>
      </c>
      <c r="F2761" s="58" t="s">
        <v>0</v>
      </c>
      <c r="G2761" s="35">
        <f>G2762</f>
        <v>7447.9</v>
      </c>
      <c r="H2761" s="35">
        <f t="shared" ref="H2761:K2762" si="1306">H2762</f>
        <v>13972.8</v>
      </c>
      <c r="I2761" s="35">
        <f t="shared" si="1306"/>
        <v>6314.03</v>
      </c>
      <c r="J2761" s="35">
        <f t="shared" si="1306"/>
        <v>6314.03</v>
      </c>
      <c r="K2761" s="35">
        <f t="shared" si="1306"/>
        <v>6103.5635000000011</v>
      </c>
      <c r="L2761" s="35">
        <f t="shared" si="1290"/>
        <v>43.681749541967264</v>
      </c>
      <c r="M2761" s="35">
        <f t="shared" si="1291"/>
        <v>96.666685144036407</v>
      </c>
    </row>
    <row r="2762" spans="1:13" ht="38.25">
      <c r="A2762" s="59" t="s">
        <v>1049</v>
      </c>
      <c r="B2762" s="28" t="s">
        <v>1048</v>
      </c>
      <c r="C2762" s="28" t="s">
        <v>19</v>
      </c>
      <c r="D2762" s="28" t="s">
        <v>51</v>
      </c>
      <c r="E2762" s="28" t="s">
        <v>1050</v>
      </c>
      <c r="F2762" s="58" t="s">
        <v>0</v>
      </c>
      <c r="G2762" s="35">
        <f>G2763</f>
        <v>7447.9</v>
      </c>
      <c r="H2762" s="35">
        <f t="shared" si="1306"/>
        <v>13972.8</v>
      </c>
      <c r="I2762" s="35">
        <f t="shared" si="1306"/>
        <v>6314.03</v>
      </c>
      <c r="J2762" s="35">
        <f t="shared" si="1306"/>
        <v>6314.03</v>
      </c>
      <c r="K2762" s="35">
        <f t="shared" si="1306"/>
        <v>6103.5635000000011</v>
      </c>
      <c r="L2762" s="35">
        <f t="shared" si="1290"/>
        <v>43.681749541967264</v>
      </c>
      <c r="M2762" s="35">
        <f t="shared" si="1291"/>
        <v>96.666685144036407</v>
      </c>
    </row>
    <row r="2763" spans="1:13" ht="25.5">
      <c r="A2763" s="59" t="s">
        <v>76</v>
      </c>
      <c r="B2763" s="28" t="s">
        <v>1048</v>
      </c>
      <c r="C2763" s="28" t="s">
        <v>19</v>
      </c>
      <c r="D2763" s="28" t="s">
        <v>51</v>
      </c>
      <c r="E2763" s="28" t="s">
        <v>1054</v>
      </c>
      <c r="F2763" s="58" t="s">
        <v>0</v>
      </c>
      <c r="G2763" s="35">
        <f>G2764+G2766</f>
        <v>7447.9</v>
      </c>
      <c r="H2763" s="35">
        <f>H2764+H2766+H2768</f>
        <v>13972.8</v>
      </c>
      <c r="I2763" s="35">
        <f t="shared" ref="I2763:K2763" si="1307">I2764+I2766+I2768</f>
        <v>6314.03</v>
      </c>
      <c r="J2763" s="35">
        <f t="shared" si="1307"/>
        <v>6314.03</v>
      </c>
      <c r="K2763" s="35">
        <f t="shared" si="1307"/>
        <v>6103.5635000000011</v>
      </c>
      <c r="L2763" s="35">
        <f t="shared" si="1290"/>
        <v>43.681749541967264</v>
      </c>
      <c r="M2763" s="35">
        <f t="shared" si="1291"/>
        <v>96.666685144036407</v>
      </c>
    </row>
    <row r="2764" spans="1:13" ht="63.75">
      <c r="A2764" s="59" t="s">
        <v>60</v>
      </c>
      <c r="B2764" s="28" t="s">
        <v>1048</v>
      </c>
      <c r="C2764" s="28" t="s">
        <v>19</v>
      </c>
      <c r="D2764" s="28" t="s">
        <v>51</v>
      </c>
      <c r="E2764" s="28" t="s">
        <v>1054</v>
      </c>
      <c r="F2764" s="28" t="s">
        <v>61</v>
      </c>
      <c r="G2764" s="35">
        <f>G2765</f>
        <v>6233.8</v>
      </c>
      <c r="H2764" s="35">
        <f t="shared" ref="H2764:K2764" si="1308">H2765</f>
        <v>7702.2999999999993</v>
      </c>
      <c r="I2764" s="35">
        <f t="shared" si="1308"/>
        <v>5309.49</v>
      </c>
      <c r="J2764" s="35">
        <f t="shared" si="1308"/>
        <v>5309.49</v>
      </c>
      <c r="K2764" s="35">
        <f t="shared" si="1308"/>
        <v>5307.1696300000003</v>
      </c>
      <c r="L2764" s="35">
        <f t="shared" si="1290"/>
        <v>68.903699284629283</v>
      </c>
      <c r="M2764" s="35">
        <f t="shared" si="1291"/>
        <v>99.956297685841776</v>
      </c>
    </row>
    <row r="2765" spans="1:13">
      <c r="A2765" s="59" t="s">
        <v>78</v>
      </c>
      <c r="B2765" s="28" t="s">
        <v>1048</v>
      </c>
      <c r="C2765" s="28" t="s">
        <v>19</v>
      </c>
      <c r="D2765" s="28" t="s">
        <v>51</v>
      </c>
      <c r="E2765" s="28" t="s">
        <v>1054</v>
      </c>
      <c r="F2765" s="28" t="s">
        <v>79</v>
      </c>
      <c r="G2765" s="35">
        <v>6233.8</v>
      </c>
      <c r="H2765" s="35">
        <f>5254.9+926+1521.4</f>
        <v>7702.2999999999993</v>
      </c>
      <c r="I2765" s="35">
        <f>3662.39+668+979.1</f>
        <v>5309.49</v>
      </c>
      <c r="J2765" s="35">
        <f>3662.39+668+979.1</f>
        <v>5309.49</v>
      </c>
      <c r="K2765" s="35">
        <f>3662.38953+665.6801+979.1</f>
        <v>5307.1696300000003</v>
      </c>
      <c r="L2765" s="35">
        <f t="shared" si="1290"/>
        <v>68.903699284629283</v>
      </c>
      <c r="M2765" s="35">
        <f t="shared" si="1291"/>
        <v>99.956297685841776</v>
      </c>
    </row>
    <row r="2766" spans="1:13" ht="25.5">
      <c r="A2766" s="59" t="s">
        <v>64</v>
      </c>
      <c r="B2766" s="28" t="s">
        <v>1048</v>
      </c>
      <c r="C2766" s="28" t="s">
        <v>19</v>
      </c>
      <c r="D2766" s="28" t="s">
        <v>51</v>
      </c>
      <c r="E2766" s="28" t="s">
        <v>1054</v>
      </c>
      <c r="F2766" s="28" t="s">
        <v>65</v>
      </c>
      <c r="G2766" s="35">
        <f>G2767</f>
        <v>1214.0999999999999</v>
      </c>
      <c r="H2766" s="35">
        <f t="shared" ref="H2766:K2766" si="1309">H2767</f>
        <v>6001.4</v>
      </c>
      <c r="I2766" s="35">
        <f t="shared" si="1309"/>
        <v>923.48</v>
      </c>
      <c r="J2766" s="35">
        <f t="shared" si="1309"/>
        <v>923.48</v>
      </c>
      <c r="K2766" s="35">
        <f t="shared" si="1309"/>
        <v>716.34646999999995</v>
      </c>
      <c r="L2766" s="35">
        <f t="shared" si="1290"/>
        <v>11.936322691372013</v>
      </c>
      <c r="M2766" s="35">
        <f t="shared" si="1291"/>
        <v>77.570328539870914</v>
      </c>
    </row>
    <row r="2767" spans="1:13" ht="25.5">
      <c r="A2767" s="59" t="s">
        <v>66</v>
      </c>
      <c r="B2767" s="28" t="s">
        <v>1048</v>
      </c>
      <c r="C2767" s="28" t="s">
        <v>19</v>
      </c>
      <c r="D2767" s="28" t="s">
        <v>51</v>
      </c>
      <c r="E2767" s="28" t="s">
        <v>1054</v>
      </c>
      <c r="F2767" s="28" t="s">
        <v>67</v>
      </c>
      <c r="G2767" s="35">
        <v>1214.0999999999999</v>
      </c>
      <c r="H2767" s="35">
        <v>6001.4</v>
      </c>
      <c r="I2767" s="35">
        <v>923.48</v>
      </c>
      <c r="J2767" s="35">
        <v>923.48</v>
      </c>
      <c r="K2767" s="35">
        <v>716.34646999999995</v>
      </c>
      <c r="L2767" s="35">
        <f t="shared" si="1290"/>
        <v>11.936322691372013</v>
      </c>
      <c r="M2767" s="35">
        <f t="shared" si="1291"/>
        <v>77.570328539870914</v>
      </c>
    </row>
    <row r="2768" spans="1:13" s="92" customFormat="1">
      <c r="A2768" s="8" t="s">
        <v>72</v>
      </c>
      <c r="B2768" s="28" t="s">
        <v>1048</v>
      </c>
      <c r="C2768" s="28" t="s">
        <v>19</v>
      </c>
      <c r="D2768" s="28" t="s">
        <v>51</v>
      </c>
      <c r="E2768" s="28" t="s">
        <v>1054</v>
      </c>
      <c r="F2768" s="28">
        <v>800</v>
      </c>
      <c r="G2768" s="35"/>
      <c r="H2768" s="35">
        <f>H2769</f>
        <v>269.10000000000002</v>
      </c>
      <c r="I2768" s="35">
        <f t="shared" ref="I2768:K2768" si="1310">I2769</f>
        <v>81.06</v>
      </c>
      <c r="J2768" s="35">
        <f t="shared" si="1310"/>
        <v>81.06</v>
      </c>
      <c r="K2768" s="35">
        <f t="shared" si="1310"/>
        <v>80.047399999999996</v>
      </c>
      <c r="L2768" s="35">
        <f t="shared" si="1290"/>
        <v>29.746339650687474</v>
      </c>
      <c r="M2768" s="35">
        <f t="shared" si="1291"/>
        <v>98.75080187515421</v>
      </c>
    </row>
    <row r="2769" spans="1:13" s="92" customFormat="1">
      <c r="A2769" s="8" t="s">
        <v>74</v>
      </c>
      <c r="B2769" s="28" t="s">
        <v>1048</v>
      </c>
      <c r="C2769" s="28" t="s">
        <v>19</v>
      </c>
      <c r="D2769" s="28" t="s">
        <v>51</v>
      </c>
      <c r="E2769" s="28" t="s">
        <v>1054</v>
      </c>
      <c r="F2769" s="28">
        <v>850</v>
      </c>
      <c r="G2769" s="35"/>
      <c r="H2769" s="35">
        <f>181.3+16.8+71</f>
        <v>269.10000000000002</v>
      </c>
      <c r="I2769" s="35">
        <f>75.86+4.2+1</f>
        <v>81.06</v>
      </c>
      <c r="J2769" s="35">
        <f>75.86+4.2+1</f>
        <v>81.06</v>
      </c>
      <c r="K2769" s="35">
        <f>75.8594+4.188</f>
        <v>80.047399999999996</v>
      </c>
      <c r="L2769" s="35">
        <f t="shared" si="1290"/>
        <v>29.746339650687474</v>
      </c>
      <c r="M2769" s="35">
        <f t="shared" si="1291"/>
        <v>98.75080187515421</v>
      </c>
    </row>
    <row r="2770" spans="1:13" ht="12" customHeight="1">
      <c r="A2770" s="60" t="s">
        <v>0</v>
      </c>
      <c r="B2770" s="58" t="s">
        <v>0</v>
      </c>
      <c r="C2770" s="58" t="s">
        <v>0</v>
      </c>
      <c r="D2770" s="58" t="s">
        <v>0</v>
      </c>
      <c r="E2770" s="58" t="s">
        <v>0</v>
      </c>
      <c r="F2770" s="58" t="s">
        <v>0</v>
      </c>
      <c r="G2770" s="61" t="s">
        <v>0</v>
      </c>
      <c r="H2770" s="61" t="s">
        <v>0</v>
      </c>
      <c r="I2770" s="61" t="s">
        <v>0</v>
      </c>
      <c r="J2770" s="61" t="s">
        <v>0</v>
      </c>
      <c r="K2770" s="61" t="s">
        <v>0</v>
      </c>
      <c r="L2770" s="35"/>
      <c r="M2770" s="35"/>
    </row>
    <row r="2771" spans="1:13">
      <c r="A2771" s="59" t="s">
        <v>92</v>
      </c>
      <c r="B2771" s="28" t="s">
        <v>1048</v>
      </c>
      <c r="C2771" s="28" t="s">
        <v>93</v>
      </c>
      <c r="D2771" s="58" t="s">
        <v>0</v>
      </c>
      <c r="E2771" s="58" t="s">
        <v>0</v>
      </c>
      <c r="F2771" s="58" t="s">
        <v>0</v>
      </c>
      <c r="G2771" s="35">
        <f>G2772+G2780</f>
        <v>57944</v>
      </c>
      <c r="H2771" s="35">
        <f t="shared" ref="H2771:K2771" si="1311">H2772+H2780</f>
        <v>272271.25471000001</v>
      </c>
      <c r="I2771" s="35">
        <f t="shared" si="1311"/>
        <v>189124.72057999999</v>
      </c>
      <c r="J2771" s="35">
        <f t="shared" si="1311"/>
        <v>189124.72057999999</v>
      </c>
      <c r="K2771" s="35">
        <f t="shared" si="1311"/>
        <v>189124.72057999999</v>
      </c>
      <c r="L2771" s="30">
        <f t="shared" si="1290"/>
        <v>69.461875724427628</v>
      </c>
      <c r="M2771" s="30">
        <f t="shared" si="1291"/>
        <v>100</v>
      </c>
    </row>
    <row r="2772" spans="1:13">
      <c r="A2772" s="59" t="s">
        <v>94</v>
      </c>
      <c r="B2772" s="28" t="s">
        <v>1048</v>
      </c>
      <c r="C2772" s="28" t="s">
        <v>93</v>
      </c>
      <c r="D2772" s="28" t="s">
        <v>17</v>
      </c>
      <c r="E2772" s="58" t="s">
        <v>0</v>
      </c>
      <c r="F2772" s="58" t="s">
        <v>0</v>
      </c>
      <c r="G2772" s="35">
        <f>G2773</f>
        <v>9900</v>
      </c>
      <c r="H2772" s="35">
        <f t="shared" ref="H2772:K2772" si="1312">H2773</f>
        <v>9900</v>
      </c>
      <c r="I2772" s="35">
        <f t="shared" si="1312"/>
        <v>0</v>
      </c>
      <c r="J2772" s="35">
        <f t="shared" si="1312"/>
        <v>0</v>
      </c>
      <c r="K2772" s="35">
        <f t="shared" si="1312"/>
        <v>0</v>
      </c>
      <c r="L2772" s="35">
        <f t="shared" si="1290"/>
        <v>0</v>
      </c>
      <c r="M2772" s="35">
        <v>0</v>
      </c>
    </row>
    <row r="2773" spans="1:13" ht="38.25">
      <c r="A2773" s="59" t="s">
        <v>1049</v>
      </c>
      <c r="B2773" s="28" t="s">
        <v>1048</v>
      </c>
      <c r="C2773" s="28" t="s">
        <v>93</v>
      </c>
      <c r="D2773" s="28" t="s">
        <v>17</v>
      </c>
      <c r="E2773" s="28" t="s">
        <v>1050</v>
      </c>
      <c r="F2773" s="58" t="s">
        <v>0</v>
      </c>
      <c r="G2773" s="35">
        <f>G2774+G2777</f>
        <v>9900</v>
      </c>
      <c r="H2773" s="35">
        <f t="shared" ref="H2773:K2773" si="1313">H2774+H2777</f>
        <v>9900</v>
      </c>
      <c r="I2773" s="35">
        <f t="shared" si="1313"/>
        <v>0</v>
      </c>
      <c r="J2773" s="35">
        <f t="shared" si="1313"/>
        <v>0</v>
      </c>
      <c r="K2773" s="35">
        <f t="shared" si="1313"/>
        <v>0</v>
      </c>
      <c r="L2773" s="35">
        <f t="shared" si="1290"/>
        <v>0</v>
      </c>
      <c r="M2773" s="35">
        <v>0</v>
      </c>
    </row>
    <row r="2774" spans="1:13" ht="38.25">
      <c r="A2774" s="59" t="s">
        <v>37</v>
      </c>
      <c r="B2774" s="28" t="s">
        <v>1048</v>
      </c>
      <c r="C2774" s="28" t="s">
        <v>93</v>
      </c>
      <c r="D2774" s="28" t="s">
        <v>17</v>
      </c>
      <c r="E2774" s="28" t="s">
        <v>1052</v>
      </c>
      <c r="F2774" s="58" t="s">
        <v>0</v>
      </c>
      <c r="G2774" s="35">
        <f>G2775</f>
        <v>6700</v>
      </c>
      <c r="H2774" s="35">
        <f t="shared" ref="H2774:K2775" si="1314">H2775</f>
        <v>6700</v>
      </c>
      <c r="I2774" s="35">
        <f t="shared" si="1314"/>
        <v>0</v>
      </c>
      <c r="J2774" s="35">
        <f t="shared" si="1314"/>
        <v>0</v>
      </c>
      <c r="K2774" s="35">
        <f t="shared" si="1314"/>
        <v>0</v>
      </c>
      <c r="L2774" s="35">
        <f t="shared" si="1290"/>
        <v>0</v>
      </c>
      <c r="M2774" s="35">
        <v>0</v>
      </c>
    </row>
    <row r="2775" spans="1:13" ht="25.5">
      <c r="A2775" s="59" t="s">
        <v>39</v>
      </c>
      <c r="B2775" s="28" t="s">
        <v>1048</v>
      </c>
      <c r="C2775" s="28" t="s">
        <v>93</v>
      </c>
      <c r="D2775" s="28" t="s">
        <v>17</v>
      </c>
      <c r="E2775" s="28" t="s">
        <v>1052</v>
      </c>
      <c r="F2775" s="28" t="s">
        <v>40</v>
      </c>
      <c r="G2775" s="35">
        <f>G2776</f>
        <v>6700</v>
      </c>
      <c r="H2775" s="35">
        <f t="shared" si="1314"/>
        <v>6700</v>
      </c>
      <c r="I2775" s="35">
        <f t="shared" si="1314"/>
        <v>0</v>
      </c>
      <c r="J2775" s="35">
        <f t="shared" si="1314"/>
        <v>0</v>
      </c>
      <c r="K2775" s="35">
        <f t="shared" si="1314"/>
        <v>0</v>
      </c>
      <c r="L2775" s="35">
        <f t="shared" si="1290"/>
        <v>0</v>
      </c>
      <c r="M2775" s="35">
        <v>0</v>
      </c>
    </row>
    <row r="2776" spans="1:13">
      <c r="A2776" s="59" t="s">
        <v>41</v>
      </c>
      <c r="B2776" s="28" t="s">
        <v>1048</v>
      </c>
      <c r="C2776" s="28" t="s">
        <v>93</v>
      </c>
      <c r="D2776" s="28" t="s">
        <v>17</v>
      </c>
      <c r="E2776" s="28" t="s">
        <v>1052</v>
      </c>
      <c r="F2776" s="28" t="s">
        <v>42</v>
      </c>
      <c r="G2776" s="35">
        <v>6700</v>
      </c>
      <c r="H2776" s="35">
        <v>6700</v>
      </c>
      <c r="I2776" s="35">
        <v>0</v>
      </c>
      <c r="J2776" s="35">
        <v>0</v>
      </c>
      <c r="K2776" s="35">
        <v>0</v>
      </c>
      <c r="L2776" s="35">
        <f t="shared" si="1290"/>
        <v>0</v>
      </c>
      <c r="M2776" s="35">
        <v>0</v>
      </c>
    </row>
    <row r="2777" spans="1:13" ht="38.25">
      <c r="A2777" s="59" t="s">
        <v>1055</v>
      </c>
      <c r="B2777" s="28" t="s">
        <v>1048</v>
      </c>
      <c r="C2777" s="28" t="s">
        <v>93</v>
      </c>
      <c r="D2777" s="28" t="s">
        <v>17</v>
      </c>
      <c r="E2777" s="28" t="s">
        <v>1056</v>
      </c>
      <c r="F2777" s="58" t="s">
        <v>0</v>
      </c>
      <c r="G2777" s="35">
        <f>G2778</f>
        <v>3200</v>
      </c>
      <c r="H2777" s="35">
        <f t="shared" ref="H2777:K2778" si="1315">H2778</f>
        <v>3200</v>
      </c>
      <c r="I2777" s="35">
        <f t="shared" si="1315"/>
        <v>0</v>
      </c>
      <c r="J2777" s="35">
        <f t="shared" si="1315"/>
        <v>0</v>
      </c>
      <c r="K2777" s="35">
        <f t="shared" si="1315"/>
        <v>0</v>
      </c>
      <c r="L2777" s="35">
        <f t="shared" si="1290"/>
        <v>0</v>
      </c>
      <c r="M2777" s="35">
        <v>0</v>
      </c>
    </row>
    <row r="2778" spans="1:13">
      <c r="A2778" s="59" t="s">
        <v>26</v>
      </c>
      <c r="B2778" s="28" t="s">
        <v>1048</v>
      </c>
      <c r="C2778" s="28" t="s">
        <v>93</v>
      </c>
      <c r="D2778" s="28" t="s">
        <v>17</v>
      </c>
      <c r="E2778" s="28" t="s">
        <v>1056</v>
      </c>
      <c r="F2778" s="28" t="s">
        <v>27</v>
      </c>
      <c r="G2778" s="35">
        <f>G2779</f>
        <v>3200</v>
      </c>
      <c r="H2778" s="35">
        <f t="shared" si="1315"/>
        <v>3200</v>
      </c>
      <c r="I2778" s="35">
        <f t="shared" si="1315"/>
        <v>0</v>
      </c>
      <c r="J2778" s="35">
        <f t="shared" si="1315"/>
        <v>0</v>
      </c>
      <c r="K2778" s="35">
        <f t="shared" si="1315"/>
        <v>0</v>
      </c>
      <c r="L2778" s="35">
        <f t="shared" si="1290"/>
        <v>0</v>
      </c>
      <c r="M2778" s="35">
        <v>0</v>
      </c>
    </row>
    <row r="2779" spans="1:13">
      <c r="A2779" s="59" t="s">
        <v>56</v>
      </c>
      <c r="B2779" s="28" t="s">
        <v>1048</v>
      </c>
      <c r="C2779" s="28" t="s">
        <v>93</v>
      </c>
      <c r="D2779" s="28" t="s">
        <v>17</v>
      </c>
      <c r="E2779" s="28" t="s">
        <v>1056</v>
      </c>
      <c r="F2779" s="28" t="s">
        <v>57</v>
      </c>
      <c r="G2779" s="35">
        <v>3200</v>
      </c>
      <c r="H2779" s="35">
        <v>3200</v>
      </c>
      <c r="I2779" s="35">
        <v>0</v>
      </c>
      <c r="J2779" s="35">
        <v>0</v>
      </c>
      <c r="K2779" s="35">
        <v>0</v>
      </c>
      <c r="L2779" s="35">
        <f t="shared" si="1290"/>
        <v>0</v>
      </c>
      <c r="M2779" s="35">
        <v>0</v>
      </c>
    </row>
    <row r="2780" spans="1:13">
      <c r="A2780" s="59" t="s">
        <v>105</v>
      </c>
      <c r="B2780" s="28" t="s">
        <v>1048</v>
      </c>
      <c r="C2780" s="28" t="s">
        <v>93</v>
      </c>
      <c r="D2780" s="28" t="s">
        <v>106</v>
      </c>
      <c r="E2780" s="58" t="s">
        <v>0</v>
      </c>
      <c r="F2780" s="58" t="s">
        <v>0</v>
      </c>
      <c r="G2780" s="35">
        <f>G2781</f>
        <v>48044</v>
      </c>
      <c r="H2780" s="35">
        <f t="shared" ref="H2780:K2780" si="1316">H2781</f>
        <v>262371.25471000001</v>
      </c>
      <c r="I2780" s="35">
        <f t="shared" si="1316"/>
        <v>189124.72057999999</v>
      </c>
      <c r="J2780" s="35">
        <f t="shared" si="1316"/>
        <v>189124.72057999999</v>
      </c>
      <c r="K2780" s="35">
        <f t="shared" si="1316"/>
        <v>189124.72057999999</v>
      </c>
      <c r="L2780" s="35">
        <f t="shared" si="1290"/>
        <v>72.082866238163291</v>
      </c>
      <c r="M2780" s="35">
        <f t="shared" si="1291"/>
        <v>100</v>
      </c>
    </row>
    <row r="2781" spans="1:13" ht="38.25">
      <c r="A2781" s="59" t="s">
        <v>1049</v>
      </c>
      <c r="B2781" s="28" t="s">
        <v>1048</v>
      </c>
      <c r="C2781" s="28" t="s">
        <v>93</v>
      </c>
      <c r="D2781" s="28" t="s">
        <v>106</v>
      </c>
      <c r="E2781" s="28" t="s">
        <v>1050</v>
      </c>
      <c r="F2781" s="58" t="s">
        <v>0</v>
      </c>
      <c r="G2781" s="35">
        <f>G2785+G2788</f>
        <v>48044</v>
      </c>
      <c r="H2781" s="35">
        <f>H2785+H2788+H2782</f>
        <v>262371.25471000001</v>
      </c>
      <c r="I2781" s="35">
        <f t="shared" ref="I2781:K2781" si="1317">I2785+I2788+I2782</f>
        <v>189124.72057999999</v>
      </c>
      <c r="J2781" s="35">
        <f t="shared" si="1317"/>
        <v>189124.72057999999</v>
      </c>
      <c r="K2781" s="35">
        <f t="shared" si="1317"/>
        <v>189124.72057999999</v>
      </c>
      <c r="L2781" s="35">
        <f t="shared" si="1290"/>
        <v>72.082866238163291</v>
      </c>
      <c r="M2781" s="35">
        <f t="shared" si="1291"/>
        <v>100</v>
      </c>
    </row>
    <row r="2782" spans="1:13" ht="33" customHeight="1">
      <c r="A2782" s="59" t="s">
        <v>1204</v>
      </c>
      <c r="B2782" s="28" t="s">
        <v>1048</v>
      </c>
      <c r="C2782" s="28" t="s">
        <v>93</v>
      </c>
      <c r="D2782" s="28" t="s">
        <v>106</v>
      </c>
      <c r="E2782" s="29" t="s">
        <v>1205</v>
      </c>
      <c r="F2782" s="58"/>
      <c r="G2782" s="35"/>
      <c r="H2782" s="35">
        <f>H2783</f>
        <v>214327.21638</v>
      </c>
      <c r="I2782" s="35">
        <f>I2783</f>
        <v>174484.61637999999</v>
      </c>
      <c r="J2782" s="35">
        <f t="shared" ref="J2782:K2783" si="1318">J2783</f>
        <v>174484.61637999999</v>
      </c>
      <c r="K2782" s="35">
        <f t="shared" si="1318"/>
        <v>174484.61637999999</v>
      </c>
      <c r="L2782" s="35">
        <f t="shared" si="1290"/>
        <v>81.410387036726377</v>
      </c>
      <c r="M2782" s="35">
        <f t="shared" si="1291"/>
        <v>100</v>
      </c>
    </row>
    <row r="2783" spans="1:13">
      <c r="A2783" s="59" t="s">
        <v>26</v>
      </c>
      <c r="B2783" s="28" t="s">
        <v>1048</v>
      </c>
      <c r="C2783" s="28" t="s">
        <v>93</v>
      </c>
      <c r="D2783" s="28" t="s">
        <v>106</v>
      </c>
      <c r="E2783" s="29" t="s">
        <v>1205</v>
      </c>
      <c r="F2783" s="58">
        <v>500</v>
      </c>
      <c r="G2783" s="35"/>
      <c r="H2783" s="35">
        <f>H2784</f>
        <v>214327.21638</v>
      </c>
      <c r="I2783" s="35">
        <f>I2784</f>
        <v>174484.61637999999</v>
      </c>
      <c r="J2783" s="35">
        <f t="shared" si="1318"/>
        <v>174484.61637999999</v>
      </c>
      <c r="K2783" s="35">
        <f t="shared" si="1318"/>
        <v>174484.61637999999</v>
      </c>
      <c r="L2783" s="35">
        <f t="shared" si="1290"/>
        <v>81.410387036726377</v>
      </c>
      <c r="M2783" s="35">
        <f t="shared" si="1291"/>
        <v>100</v>
      </c>
    </row>
    <row r="2784" spans="1:13">
      <c r="A2784" s="59" t="s">
        <v>56</v>
      </c>
      <c r="B2784" s="28" t="s">
        <v>1048</v>
      </c>
      <c r="C2784" s="28" t="s">
        <v>93</v>
      </c>
      <c r="D2784" s="28" t="s">
        <v>106</v>
      </c>
      <c r="E2784" s="29" t="s">
        <v>1205</v>
      </c>
      <c r="F2784" s="58">
        <v>520</v>
      </c>
      <c r="G2784" s="35"/>
      <c r="H2784" s="35">
        <v>214327.21638</v>
      </c>
      <c r="I2784" s="35">
        <v>174484.61637999999</v>
      </c>
      <c r="J2784" s="35">
        <v>174484.61637999999</v>
      </c>
      <c r="K2784" s="35">
        <v>174484.61637999999</v>
      </c>
      <c r="L2784" s="35">
        <f t="shared" si="1290"/>
        <v>81.410387036726377</v>
      </c>
      <c r="M2784" s="35">
        <f t="shared" si="1291"/>
        <v>100</v>
      </c>
    </row>
    <row r="2785" spans="1:13" ht="25.5">
      <c r="A2785" s="59" t="s">
        <v>107</v>
      </c>
      <c r="B2785" s="28" t="s">
        <v>1048</v>
      </c>
      <c r="C2785" s="28" t="s">
        <v>93</v>
      </c>
      <c r="D2785" s="28" t="s">
        <v>106</v>
      </c>
      <c r="E2785" s="28" t="s">
        <v>1057</v>
      </c>
      <c r="F2785" s="58" t="s">
        <v>0</v>
      </c>
      <c r="G2785" s="35">
        <f>G2786</f>
        <v>40794</v>
      </c>
      <c r="H2785" s="35">
        <f t="shared" ref="H2785:K2786" si="1319">H2786</f>
        <v>40794.038330000003</v>
      </c>
      <c r="I2785" s="35">
        <f t="shared" si="1319"/>
        <v>11880.51958</v>
      </c>
      <c r="J2785" s="35">
        <f t="shared" si="1319"/>
        <v>11880.51958</v>
      </c>
      <c r="K2785" s="35">
        <f t="shared" si="1319"/>
        <v>11880.51958</v>
      </c>
      <c r="L2785" s="35">
        <f t="shared" si="1290"/>
        <v>29.123175999133792</v>
      </c>
      <c r="M2785" s="35">
        <f t="shared" si="1291"/>
        <v>100</v>
      </c>
    </row>
    <row r="2786" spans="1:13">
      <c r="A2786" s="59" t="s">
        <v>26</v>
      </c>
      <c r="B2786" s="28" t="s">
        <v>1048</v>
      </c>
      <c r="C2786" s="28" t="s">
        <v>93</v>
      </c>
      <c r="D2786" s="28" t="s">
        <v>106</v>
      </c>
      <c r="E2786" s="28" t="s">
        <v>1057</v>
      </c>
      <c r="F2786" s="28" t="s">
        <v>27</v>
      </c>
      <c r="G2786" s="35">
        <f>G2787</f>
        <v>40794</v>
      </c>
      <c r="H2786" s="35">
        <f t="shared" si="1319"/>
        <v>40794.038330000003</v>
      </c>
      <c r="I2786" s="35">
        <f t="shared" si="1319"/>
        <v>11880.51958</v>
      </c>
      <c r="J2786" s="35">
        <f t="shared" si="1319"/>
        <v>11880.51958</v>
      </c>
      <c r="K2786" s="35">
        <f t="shared" si="1319"/>
        <v>11880.51958</v>
      </c>
      <c r="L2786" s="35">
        <f t="shared" si="1290"/>
        <v>29.123175999133792</v>
      </c>
      <c r="M2786" s="35">
        <f t="shared" si="1291"/>
        <v>100</v>
      </c>
    </row>
    <row r="2787" spans="1:13">
      <c r="A2787" s="59" t="s">
        <v>56</v>
      </c>
      <c r="B2787" s="28" t="s">
        <v>1048</v>
      </c>
      <c r="C2787" s="28" t="s">
        <v>93</v>
      </c>
      <c r="D2787" s="28" t="s">
        <v>106</v>
      </c>
      <c r="E2787" s="28" t="s">
        <v>1057</v>
      </c>
      <c r="F2787" s="28" t="s">
        <v>57</v>
      </c>
      <c r="G2787" s="35">
        <v>40794</v>
      </c>
      <c r="H2787" s="35">
        <v>40794.038330000003</v>
      </c>
      <c r="I2787" s="35">
        <v>11880.51958</v>
      </c>
      <c r="J2787" s="35">
        <v>11880.51958</v>
      </c>
      <c r="K2787" s="35">
        <v>11880.51958</v>
      </c>
      <c r="L2787" s="35">
        <f t="shared" ref="L2787:L2850" si="1320">K2787/H2787*100</f>
        <v>29.123175999133792</v>
      </c>
      <c r="M2787" s="35">
        <f t="shared" ref="M2787:M2850" si="1321">K2787/I2787*100</f>
        <v>100</v>
      </c>
    </row>
    <row r="2788" spans="1:13" ht="63.75">
      <c r="A2788" s="59" t="s">
        <v>184</v>
      </c>
      <c r="B2788" s="28" t="s">
        <v>1048</v>
      </c>
      <c r="C2788" s="28" t="s">
        <v>93</v>
      </c>
      <c r="D2788" s="28" t="s">
        <v>106</v>
      </c>
      <c r="E2788" s="28" t="s">
        <v>1058</v>
      </c>
      <c r="F2788" s="58" t="s">
        <v>0</v>
      </c>
      <c r="G2788" s="35">
        <f>G2789</f>
        <v>7250</v>
      </c>
      <c r="H2788" s="35">
        <f t="shared" ref="H2788:K2789" si="1322">H2789</f>
        <v>7250</v>
      </c>
      <c r="I2788" s="35">
        <f t="shared" si="1322"/>
        <v>2759.5846200000001</v>
      </c>
      <c r="J2788" s="35">
        <f t="shared" si="1322"/>
        <v>2759.5846200000001</v>
      </c>
      <c r="K2788" s="35">
        <f t="shared" si="1322"/>
        <v>2759.5846200000001</v>
      </c>
      <c r="L2788" s="35">
        <f t="shared" si="1320"/>
        <v>38.063236137931035</v>
      </c>
      <c r="M2788" s="35">
        <f t="shared" si="1321"/>
        <v>100</v>
      </c>
    </row>
    <row r="2789" spans="1:13">
      <c r="A2789" s="59" t="s">
        <v>26</v>
      </c>
      <c r="B2789" s="28" t="s">
        <v>1048</v>
      </c>
      <c r="C2789" s="28" t="s">
        <v>93</v>
      </c>
      <c r="D2789" s="28" t="s">
        <v>106</v>
      </c>
      <c r="E2789" s="28" t="s">
        <v>1058</v>
      </c>
      <c r="F2789" s="28" t="s">
        <v>27</v>
      </c>
      <c r="G2789" s="35">
        <f>G2790</f>
        <v>7250</v>
      </c>
      <c r="H2789" s="35">
        <f t="shared" si="1322"/>
        <v>7250</v>
      </c>
      <c r="I2789" s="35">
        <f t="shared" si="1322"/>
        <v>2759.5846200000001</v>
      </c>
      <c r="J2789" s="35">
        <f t="shared" si="1322"/>
        <v>2759.5846200000001</v>
      </c>
      <c r="K2789" s="35">
        <f t="shared" si="1322"/>
        <v>2759.5846200000001</v>
      </c>
      <c r="L2789" s="35">
        <f t="shared" si="1320"/>
        <v>38.063236137931035</v>
      </c>
      <c r="M2789" s="35">
        <f t="shared" si="1321"/>
        <v>100</v>
      </c>
    </row>
    <row r="2790" spans="1:13">
      <c r="A2790" s="59" t="s">
        <v>56</v>
      </c>
      <c r="B2790" s="28" t="s">
        <v>1048</v>
      </c>
      <c r="C2790" s="28" t="s">
        <v>93</v>
      </c>
      <c r="D2790" s="28" t="s">
        <v>106</v>
      </c>
      <c r="E2790" s="28" t="s">
        <v>1058</v>
      </c>
      <c r="F2790" s="28" t="s">
        <v>57</v>
      </c>
      <c r="G2790" s="35">
        <v>7250</v>
      </c>
      <c r="H2790" s="35">
        <v>7250</v>
      </c>
      <c r="I2790" s="35">
        <v>2759.5846200000001</v>
      </c>
      <c r="J2790" s="35">
        <v>2759.5846200000001</v>
      </c>
      <c r="K2790" s="35">
        <v>2759.5846200000001</v>
      </c>
      <c r="L2790" s="35">
        <f t="shared" si="1320"/>
        <v>38.063236137931035</v>
      </c>
      <c r="M2790" s="35">
        <f t="shared" si="1321"/>
        <v>100</v>
      </c>
    </row>
    <row r="2791" spans="1:13" ht="11.25" customHeight="1">
      <c r="A2791" s="60" t="s">
        <v>0</v>
      </c>
      <c r="B2791" s="58" t="s">
        <v>0</v>
      </c>
      <c r="C2791" s="58" t="s">
        <v>0</v>
      </c>
      <c r="D2791" s="58" t="s">
        <v>0</v>
      </c>
      <c r="E2791" s="58" t="s">
        <v>0</v>
      </c>
      <c r="F2791" s="58" t="s">
        <v>0</v>
      </c>
      <c r="G2791" s="61" t="s">
        <v>0</v>
      </c>
      <c r="H2791" s="61" t="s">
        <v>0</v>
      </c>
      <c r="I2791" s="61" t="s">
        <v>0</v>
      </c>
      <c r="J2791" s="61" t="s">
        <v>0</v>
      </c>
      <c r="K2791" s="61" t="s">
        <v>0</v>
      </c>
      <c r="L2791" s="35"/>
      <c r="M2791" s="35"/>
    </row>
    <row r="2792" spans="1:13">
      <c r="A2792" s="59" t="s">
        <v>134</v>
      </c>
      <c r="B2792" s="28" t="s">
        <v>1048</v>
      </c>
      <c r="C2792" s="28" t="s">
        <v>46</v>
      </c>
      <c r="D2792" s="58" t="s">
        <v>0</v>
      </c>
      <c r="E2792" s="58" t="s">
        <v>0</v>
      </c>
      <c r="F2792" s="58" t="s">
        <v>0</v>
      </c>
      <c r="G2792" s="35">
        <f>G2793</f>
        <v>1000</v>
      </c>
      <c r="H2792" s="35">
        <f t="shared" ref="H2792:K2796" si="1323">H2793</f>
        <v>1000</v>
      </c>
      <c r="I2792" s="35">
        <f t="shared" si="1323"/>
        <v>0</v>
      </c>
      <c r="J2792" s="35">
        <f t="shared" si="1323"/>
        <v>0</v>
      </c>
      <c r="K2792" s="35">
        <f t="shared" si="1323"/>
        <v>0</v>
      </c>
      <c r="L2792" s="35">
        <f t="shared" si="1320"/>
        <v>0</v>
      </c>
      <c r="M2792" s="35">
        <v>0</v>
      </c>
    </row>
    <row r="2793" spans="1:13">
      <c r="A2793" s="59" t="s">
        <v>135</v>
      </c>
      <c r="B2793" s="28" t="s">
        <v>1048</v>
      </c>
      <c r="C2793" s="28" t="s">
        <v>46</v>
      </c>
      <c r="D2793" s="28" t="s">
        <v>17</v>
      </c>
      <c r="E2793" s="58" t="s">
        <v>0</v>
      </c>
      <c r="F2793" s="58" t="s">
        <v>0</v>
      </c>
      <c r="G2793" s="35">
        <f>G2794</f>
        <v>1000</v>
      </c>
      <c r="H2793" s="35">
        <f t="shared" si="1323"/>
        <v>1000</v>
      </c>
      <c r="I2793" s="35">
        <f t="shared" si="1323"/>
        <v>0</v>
      </c>
      <c r="J2793" s="35">
        <f t="shared" si="1323"/>
        <v>0</v>
      </c>
      <c r="K2793" s="35">
        <f t="shared" si="1323"/>
        <v>0</v>
      </c>
      <c r="L2793" s="35">
        <f t="shared" si="1320"/>
        <v>0</v>
      </c>
      <c r="M2793" s="35">
        <v>0</v>
      </c>
    </row>
    <row r="2794" spans="1:13" ht="38.25">
      <c r="A2794" s="59" t="s">
        <v>1049</v>
      </c>
      <c r="B2794" s="28" t="s">
        <v>1048</v>
      </c>
      <c r="C2794" s="28" t="s">
        <v>46</v>
      </c>
      <c r="D2794" s="28" t="s">
        <v>17</v>
      </c>
      <c r="E2794" s="28" t="s">
        <v>1050</v>
      </c>
      <c r="F2794" s="58" t="s">
        <v>0</v>
      </c>
      <c r="G2794" s="35">
        <f>G2795</f>
        <v>1000</v>
      </c>
      <c r="H2794" s="35">
        <f t="shared" si="1323"/>
        <v>1000</v>
      </c>
      <c r="I2794" s="35">
        <f t="shared" si="1323"/>
        <v>0</v>
      </c>
      <c r="J2794" s="35">
        <f t="shared" si="1323"/>
        <v>0</v>
      </c>
      <c r="K2794" s="35">
        <f t="shared" si="1323"/>
        <v>0</v>
      </c>
      <c r="L2794" s="35">
        <f t="shared" si="1320"/>
        <v>0</v>
      </c>
      <c r="M2794" s="35">
        <v>0</v>
      </c>
    </row>
    <row r="2795" spans="1:13" ht="38.25">
      <c r="A2795" s="59" t="s">
        <v>37</v>
      </c>
      <c r="B2795" s="28" t="s">
        <v>1048</v>
      </c>
      <c r="C2795" s="28" t="s">
        <v>46</v>
      </c>
      <c r="D2795" s="28" t="s">
        <v>17</v>
      </c>
      <c r="E2795" s="28" t="s">
        <v>1052</v>
      </c>
      <c r="F2795" s="58" t="s">
        <v>0</v>
      </c>
      <c r="G2795" s="35">
        <f>G2796</f>
        <v>1000</v>
      </c>
      <c r="H2795" s="35">
        <f t="shared" si="1323"/>
        <v>1000</v>
      </c>
      <c r="I2795" s="35">
        <f t="shared" si="1323"/>
        <v>0</v>
      </c>
      <c r="J2795" s="35">
        <f t="shared" si="1323"/>
        <v>0</v>
      </c>
      <c r="K2795" s="35">
        <f t="shared" si="1323"/>
        <v>0</v>
      </c>
      <c r="L2795" s="35">
        <f t="shared" si="1320"/>
        <v>0</v>
      </c>
      <c r="M2795" s="35">
        <v>0</v>
      </c>
    </row>
    <row r="2796" spans="1:13" ht="25.5">
      <c r="A2796" s="59" t="s">
        <v>39</v>
      </c>
      <c r="B2796" s="28" t="s">
        <v>1048</v>
      </c>
      <c r="C2796" s="28" t="s">
        <v>46</v>
      </c>
      <c r="D2796" s="28" t="s">
        <v>17</v>
      </c>
      <c r="E2796" s="28" t="s">
        <v>1052</v>
      </c>
      <c r="F2796" s="28" t="s">
        <v>40</v>
      </c>
      <c r="G2796" s="36">
        <f>G2797</f>
        <v>1000</v>
      </c>
      <c r="H2796" s="36">
        <f t="shared" si="1323"/>
        <v>1000</v>
      </c>
      <c r="I2796" s="36">
        <f t="shared" si="1323"/>
        <v>0</v>
      </c>
      <c r="J2796" s="36">
        <f t="shared" si="1323"/>
        <v>0</v>
      </c>
      <c r="K2796" s="36">
        <f t="shared" si="1323"/>
        <v>0</v>
      </c>
      <c r="L2796" s="35">
        <f t="shared" si="1320"/>
        <v>0</v>
      </c>
      <c r="M2796" s="35">
        <v>0</v>
      </c>
    </row>
    <row r="2797" spans="1:13">
      <c r="A2797" s="59" t="s">
        <v>41</v>
      </c>
      <c r="B2797" s="28" t="s">
        <v>1048</v>
      </c>
      <c r="C2797" s="28" t="s">
        <v>46</v>
      </c>
      <c r="D2797" s="28" t="s">
        <v>17</v>
      </c>
      <c r="E2797" s="28" t="s">
        <v>1052</v>
      </c>
      <c r="F2797" s="28" t="s">
        <v>42</v>
      </c>
      <c r="G2797" s="35">
        <v>1000</v>
      </c>
      <c r="H2797" s="35">
        <v>1000</v>
      </c>
      <c r="I2797" s="35">
        <v>0</v>
      </c>
      <c r="J2797" s="35">
        <v>0</v>
      </c>
      <c r="K2797" s="35">
        <v>0</v>
      </c>
      <c r="L2797" s="35">
        <f t="shared" si="1320"/>
        <v>0</v>
      </c>
      <c r="M2797" s="35">
        <v>0</v>
      </c>
    </row>
    <row r="2798" spans="1:13">
      <c r="A2798" s="64" t="s">
        <v>0</v>
      </c>
      <c r="B2798" s="65" t="s">
        <v>0</v>
      </c>
      <c r="C2798" s="58" t="s">
        <v>0</v>
      </c>
      <c r="D2798" s="58" t="s">
        <v>0</v>
      </c>
      <c r="E2798" s="58" t="s">
        <v>0</v>
      </c>
      <c r="F2798" s="58" t="s">
        <v>0</v>
      </c>
      <c r="G2798" s="66" t="s">
        <v>0</v>
      </c>
      <c r="H2798" s="66" t="s">
        <v>0</v>
      </c>
      <c r="I2798" s="66" t="s">
        <v>0</v>
      </c>
      <c r="J2798" s="66" t="s">
        <v>0</v>
      </c>
      <c r="K2798" s="66" t="s">
        <v>0</v>
      </c>
      <c r="L2798" s="35"/>
      <c r="M2798" s="35"/>
    </row>
    <row r="2799" spans="1:13" ht="25.5">
      <c r="A2799" s="56" t="s">
        <v>1059</v>
      </c>
      <c r="B2799" s="57" t="s">
        <v>1060</v>
      </c>
      <c r="C2799" s="58" t="s">
        <v>0</v>
      </c>
      <c r="D2799" s="58" t="s">
        <v>0</v>
      </c>
      <c r="E2799" s="58" t="s">
        <v>0</v>
      </c>
      <c r="F2799" s="58" t="s">
        <v>0</v>
      </c>
      <c r="G2799" s="30">
        <f>G2800</f>
        <v>73927.599999999991</v>
      </c>
      <c r="H2799" s="30">
        <f t="shared" ref="H2799:K2803" si="1324">H2800</f>
        <v>73927.599999999991</v>
      </c>
      <c r="I2799" s="30">
        <f t="shared" si="1324"/>
        <v>56820.754460000011</v>
      </c>
      <c r="J2799" s="30">
        <f t="shared" si="1324"/>
        <v>56820.754460000011</v>
      </c>
      <c r="K2799" s="30">
        <f t="shared" si="1324"/>
        <v>56820.754460000011</v>
      </c>
      <c r="L2799" s="30">
        <f t="shared" si="1320"/>
        <v>76.86000148794227</v>
      </c>
      <c r="M2799" s="30">
        <f t="shared" si="1321"/>
        <v>100</v>
      </c>
    </row>
    <row r="2800" spans="1:13">
      <c r="A2800" s="59" t="s">
        <v>16</v>
      </c>
      <c r="B2800" s="28" t="s">
        <v>1060</v>
      </c>
      <c r="C2800" s="28" t="s">
        <v>17</v>
      </c>
      <c r="D2800" s="58" t="s">
        <v>0</v>
      </c>
      <c r="E2800" s="58" t="s">
        <v>0</v>
      </c>
      <c r="F2800" s="58" t="s">
        <v>0</v>
      </c>
      <c r="G2800" s="35">
        <f>G2801</f>
        <v>73927.599999999991</v>
      </c>
      <c r="H2800" s="35">
        <f t="shared" si="1324"/>
        <v>73927.599999999991</v>
      </c>
      <c r="I2800" s="35">
        <f t="shared" si="1324"/>
        <v>56820.754460000011</v>
      </c>
      <c r="J2800" s="35">
        <f t="shared" si="1324"/>
        <v>56820.754460000011</v>
      </c>
      <c r="K2800" s="35">
        <f t="shared" si="1324"/>
        <v>56820.754460000011</v>
      </c>
      <c r="L2800" s="35">
        <f t="shared" si="1320"/>
        <v>76.86000148794227</v>
      </c>
      <c r="M2800" s="35">
        <f t="shared" si="1321"/>
        <v>100</v>
      </c>
    </row>
    <row r="2801" spans="1:13">
      <c r="A2801" s="59" t="s">
        <v>386</v>
      </c>
      <c r="B2801" s="28" t="s">
        <v>1060</v>
      </c>
      <c r="C2801" s="28" t="s">
        <v>17</v>
      </c>
      <c r="D2801" s="28" t="s">
        <v>387</v>
      </c>
      <c r="E2801" s="58" t="s">
        <v>0</v>
      </c>
      <c r="F2801" s="58" t="s">
        <v>0</v>
      </c>
      <c r="G2801" s="35">
        <f>G2802</f>
        <v>73927.599999999991</v>
      </c>
      <c r="H2801" s="35">
        <f t="shared" si="1324"/>
        <v>73927.599999999991</v>
      </c>
      <c r="I2801" s="35">
        <f t="shared" si="1324"/>
        <v>56820.754460000011</v>
      </c>
      <c r="J2801" s="35">
        <f t="shared" si="1324"/>
        <v>56820.754460000011</v>
      </c>
      <c r="K2801" s="35">
        <f t="shared" si="1324"/>
        <v>56820.754460000011</v>
      </c>
      <c r="L2801" s="35">
        <f t="shared" si="1320"/>
        <v>76.86000148794227</v>
      </c>
      <c r="M2801" s="35">
        <f t="shared" si="1321"/>
        <v>100</v>
      </c>
    </row>
    <row r="2802" spans="1:13" ht="38.25">
      <c r="A2802" s="59" t="s">
        <v>734</v>
      </c>
      <c r="B2802" s="28" t="s">
        <v>1060</v>
      </c>
      <c r="C2802" s="28" t="s">
        <v>17</v>
      </c>
      <c r="D2802" s="28" t="s">
        <v>387</v>
      </c>
      <c r="E2802" s="28" t="s">
        <v>735</v>
      </c>
      <c r="F2802" s="58" t="s">
        <v>0</v>
      </c>
      <c r="G2802" s="35">
        <f>G2803</f>
        <v>73927.599999999991</v>
      </c>
      <c r="H2802" s="35">
        <f t="shared" si="1324"/>
        <v>73927.599999999991</v>
      </c>
      <c r="I2802" s="35">
        <f t="shared" si="1324"/>
        <v>56820.754460000011</v>
      </c>
      <c r="J2802" s="35">
        <f t="shared" si="1324"/>
        <v>56820.754460000011</v>
      </c>
      <c r="K2802" s="35">
        <f t="shared" si="1324"/>
        <v>56820.754460000011</v>
      </c>
      <c r="L2802" s="35">
        <f t="shared" si="1320"/>
        <v>76.86000148794227</v>
      </c>
      <c r="M2802" s="35">
        <f t="shared" si="1321"/>
        <v>100</v>
      </c>
    </row>
    <row r="2803" spans="1:13" ht="38.25">
      <c r="A2803" s="59" t="s">
        <v>736</v>
      </c>
      <c r="B2803" s="28" t="s">
        <v>1060</v>
      </c>
      <c r="C2803" s="28" t="s">
        <v>17</v>
      </c>
      <c r="D2803" s="28" t="s">
        <v>387</v>
      </c>
      <c r="E2803" s="28" t="s">
        <v>737</v>
      </c>
      <c r="F2803" s="58" t="s">
        <v>0</v>
      </c>
      <c r="G2803" s="35">
        <f>G2804</f>
        <v>73927.599999999991</v>
      </c>
      <c r="H2803" s="35">
        <f t="shared" si="1324"/>
        <v>73927.599999999991</v>
      </c>
      <c r="I2803" s="35">
        <f t="shared" si="1324"/>
        <v>56820.754460000011</v>
      </c>
      <c r="J2803" s="35">
        <f t="shared" si="1324"/>
        <v>56820.754460000011</v>
      </c>
      <c r="K2803" s="35">
        <f t="shared" si="1324"/>
        <v>56820.754460000011</v>
      </c>
      <c r="L2803" s="35">
        <f t="shared" si="1320"/>
        <v>76.86000148794227</v>
      </c>
      <c r="M2803" s="35">
        <f t="shared" si="1321"/>
        <v>100</v>
      </c>
    </row>
    <row r="2804" spans="1:13" ht="89.25">
      <c r="A2804" s="59" t="s">
        <v>1061</v>
      </c>
      <c r="B2804" s="28" t="s">
        <v>1060</v>
      </c>
      <c r="C2804" s="28" t="s">
        <v>17</v>
      </c>
      <c r="D2804" s="28" t="s">
        <v>387</v>
      </c>
      <c r="E2804" s="28" t="s">
        <v>1062</v>
      </c>
      <c r="F2804" s="58" t="s">
        <v>0</v>
      </c>
      <c r="G2804" s="35">
        <f>G2805+G2807+G2811</f>
        <v>73927.599999999991</v>
      </c>
      <c r="H2804" s="35">
        <f>H2805+H2807+H2811+H2809</f>
        <v>73927.599999999991</v>
      </c>
      <c r="I2804" s="35">
        <f t="shared" ref="I2804:K2804" si="1325">I2805+I2807+I2811+I2809</f>
        <v>56820.754460000011</v>
      </c>
      <c r="J2804" s="35">
        <f t="shared" si="1325"/>
        <v>56820.754460000011</v>
      </c>
      <c r="K2804" s="35">
        <f t="shared" si="1325"/>
        <v>56820.754460000011</v>
      </c>
      <c r="L2804" s="35">
        <f t="shared" si="1320"/>
        <v>76.86000148794227</v>
      </c>
      <c r="M2804" s="35">
        <f t="shared" si="1321"/>
        <v>100</v>
      </c>
    </row>
    <row r="2805" spans="1:13" ht="63.75">
      <c r="A2805" s="59" t="s">
        <v>60</v>
      </c>
      <c r="B2805" s="28" t="s">
        <v>1060</v>
      </c>
      <c r="C2805" s="28" t="s">
        <v>17</v>
      </c>
      <c r="D2805" s="28" t="s">
        <v>387</v>
      </c>
      <c r="E2805" s="28" t="s">
        <v>1062</v>
      </c>
      <c r="F2805" s="28" t="s">
        <v>61</v>
      </c>
      <c r="G2805" s="35">
        <f>G2806</f>
        <v>58765.9</v>
      </c>
      <c r="H2805" s="35">
        <f t="shared" ref="H2805:K2805" si="1326">H2806</f>
        <v>59433.468399999998</v>
      </c>
      <c r="I2805" s="35">
        <f t="shared" si="1326"/>
        <v>47290.676300000006</v>
      </c>
      <c r="J2805" s="35">
        <f t="shared" si="1326"/>
        <v>47290.676300000006</v>
      </c>
      <c r="K2805" s="35">
        <f t="shared" si="1326"/>
        <v>47290.676300000006</v>
      </c>
      <c r="L2805" s="35">
        <f t="shared" si="1320"/>
        <v>79.56910066517338</v>
      </c>
      <c r="M2805" s="35">
        <f t="shared" si="1321"/>
        <v>100</v>
      </c>
    </row>
    <row r="2806" spans="1:13" ht="25.5">
      <c r="A2806" s="59" t="s">
        <v>62</v>
      </c>
      <c r="B2806" s="28" t="s">
        <v>1060</v>
      </c>
      <c r="C2806" s="28" t="s">
        <v>17</v>
      </c>
      <c r="D2806" s="28" t="s">
        <v>387</v>
      </c>
      <c r="E2806" s="28" t="s">
        <v>1062</v>
      </c>
      <c r="F2806" s="28" t="s">
        <v>63</v>
      </c>
      <c r="G2806" s="35">
        <v>58765.9</v>
      </c>
      <c r="H2806" s="35">
        <f>44669.7684+1324+13439.7</f>
        <v>59433.468399999998</v>
      </c>
      <c r="I2806" s="35">
        <f>35721.98806+1263.70061+10304.98763</f>
        <v>47290.676300000006</v>
      </c>
      <c r="J2806" s="35">
        <f>35721.98806+1263.70061+10304.98763</f>
        <v>47290.676300000006</v>
      </c>
      <c r="K2806" s="35">
        <f>35721.98806+1263.70061+10304.98763</f>
        <v>47290.676300000006</v>
      </c>
      <c r="L2806" s="35">
        <f t="shared" si="1320"/>
        <v>79.56910066517338</v>
      </c>
      <c r="M2806" s="35">
        <f t="shared" si="1321"/>
        <v>100</v>
      </c>
    </row>
    <row r="2807" spans="1:13" ht="25.5">
      <c r="A2807" s="59" t="s">
        <v>64</v>
      </c>
      <c r="B2807" s="28" t="s">
        <v>1060</v>
      </c>
      <c r="C2807" s="28" t="s">
        <v>17</v>
      </c>
      <c r="D2807" s="28" t="s">
        <v>387</v>
      </c>
      <c r="E2807" s="28" t="s">
        <v>1062</v>
      </c>
      <c r="F2807" s="28" t="s">
        <v>65</v>
      </c>
      <c r="G2807" s="35">
        <f>G2808</f>
        <v>14523</v>
      </c>
      <c r="H2807" s="35">
        <f t="shared" ref="H2807:K2807" si="1327">H2808</f>
        <v>13513.510829999999</v>
      </c>
      <c r="I2807" s="35">
        <f t="shared" si="1327"/>
        <v>9166.9282700000003</v>
      </c>
      <c r="J2807" s="35">
        <f t="shared" si="1327"/>
        <v>9166.9282700000003</v>
      </c>
      <c r="K2807" s="35">
        <f t="shared" si="1327"/>
        <v>9166.9282700000003</v>
      </c>
      <c r="L2807" s="35">
        <f t="shared" si="1320"/>
        <v>67.835282668730429</v>
      </c>
      <c r="M2807" s="35">
        <f t="shared" si="1321"/>
        <v>100</v>
      </c>
    </row>
    <row r="2808" spans="1:13" ht="25.5">
      <c r="A2808" s="59" t="s">
        <v>66</v>
      </c>
      <c r="B2808" s="28" t="s">
        <v>1060</v>
      </c>
      <c r="C2808" s="28" t="s">
        <v>17</v>
      </c>
      <c r="D2808" s="28" t="s">
        <v>387</v>
      </c>
      <c r="E2808" s="28" t="s">
        <v>1062</v>
      </c>
      <c r="F2808" s="28" t="s">
        <v>67</v>
      </c>
      <c r="G2808" s="35">
        <v>14523</v>
      </c>
      <c r="H2808" s="35">
        <f>44.15+13469.36083</f>
        <v>13513.510829999999</v>
      </c>
      <c r="I2808" s="35">
        <f>44.15+9122.77827</f>
        <v>9166.9282700000003</v>
      </c>
      <c r="J2808" s="35">
        <f>44.15+9122.77827</f>
        <v>9166.9282700000003</v>
      </c>
      <c r="K2808" s="35">
        <f>44.15+9122.77827</f>
        <v>9166.9282700000003</v>
      </c>
      <c r="L2808" s="35">
        <f t="shared" si="1320"/>
        <v>67.835282668730429</v>
      </c>
      <c r="M2808" s="35">
        <f t="shared" si="1321"/>
        <v>100</v>
      </c>
    </row>
    <row r="2809" spans="1:13" s="92" customFormat="1">
      <c r="A2809" s="8" t="s">
        <v>68</v>
      </c>
      <c r="B2809" s="28" t="s">
        <v>1060</v>
      </c>
      <c r="C2809" s="28" t="s">
        <v>17</v>
      </c>
      <c r="D2809" s="28" t="s">
        <v>387</v>
      </c>
      <c r="E2809" s="28" t="s">
        <v>1062</v>
      </c>
      <c r="F2809" s="28">
        <v>300</v>
      </c>
      <c r="G2809" s="35"/>
      <c r="H2809" s="35">
        <f>H2810</f>
        <v>341.92077</v>
      </c>
      <c r="I2809" s="35">
        <f t="shared" ref="I2809:K2809" si="1328">I2810</f>
        <v>0</v>
      </c>
      <c r="J2809" s="35">
        <f t="shared" si="1328"/>
        <v>0</v>
      </c>
      <c r="K2809" s="35">
        <f t="shared" si="1328"/>
        <v>0</v>
      </c>
      <c r="L2809" s="35">
        <f t="shared" si="1320"/>
        <v>0</v>
      </c>
      <c r="M2809" s="35">
        <v>0</v>
      </c>
    </row>
    <row r="2810" spans="1:13" s="92" customFormat="1" ht="25.5">
      <c r="A2810" s="8" t="s">
        <v>151</v>
      </c>
      <c r="B2810" s="28" t="s">
        <v>1060</v>
      </c>
      <c r="C2810" s="28" t="s">
        <v>17</v>
      </c>
      <c r="D2810" s="28" t="s">
        <v>387</v>
      </c>
      <c r="E2810" s="28" t="s">
        <v>1062</v>
      </c>
      <c r="F2810" s="28">
        <v>320</v>
      </c>
      <c r="G2810" s="35"/>
      <c r="H2810" s="35">
        <v>341.92077</v>
      </c>
      <c r="I2810" s="35">
        <v>0</v>
      </c>
      <c r="J2810" s="35">
        <v>0</v>
      </c>
      <c r="K2810" s="35">
        <v>0</v>
      </c>
      <c r="L2810" s="35">
        <f t="shared" si="1320"/>
        <v>0</v>
      </c>
      <c r="M2810" s="35">
        <v>0</v>
      </c>
    </row>
    <row r="2811" spans="1:13">
      <c r="A2811" s="59" t="s">
        <v>72</v>
      </c>
      <c r="B2811" s="28" t="s">
        <v>1060</v>
      </c>
      <c r="C2811" s="28" t="s">
        <v>17</v>
      </c>
      <c r="D2811" s="28" t="s">
        <v>387</v>
      </c>
      <c r="E2811" s="28" t="s">
        <v>1062</v>
      </c>
      <c r="F2811" s="28" t="s">
        <v>73</v>
      </c>
      <c r="G2811" s="35">
        <f>G2812</f>
        <v>638.70000000000005</v>
      </c>
      <c r="H2811" s="35">
        <f t="shared" ref="H2811:K2811" si="1329">H2812</f>
        <v>638.70000000000005</v>
      </c>
      <c r="I2811" s="35">
        <f t="shared" si="1329"/>
        <v>363.14988999999997</v>
      </c>
      <c r="J2811" s="35">
        <f t="shared" si="1329"/>
        <v>363.14988999999997</v>
      </c>
      <c r="K2811" s="35">
        <f t="shared" si="1329"/>
        <v>363.14988999999997</v>
      </c>
      <c r="L2811" s="35">
        <f t="shared" si="1320"/>
        <v>56.857662439329879</v>
      </c>
      <c r="M2811" s="35">
        <f t="shared" si="1321"/>
        <v>100</v>
      </c>
    </row>
    <row r="2812" spans="1:13">
      <c r="A2812" s="59" t="s">
        <v>74</v>
      </c>
      <c r="B2812" s="28" t="s">
        <v>1060</v>
      </c>
      <c r="C2812" s="28" t="s">
        <v>17</v>
      </c>
      <c r="D2812" s="28" t="s">
        <v>387</v>
      </c>
      <c r="E2812" s="28" t="s">
        <v>1062</v>
      </c>
      <c r="F2812" s="28" t="s">
        <v>75</v>
      </c>
      <c r="G2812" s="35">
        <v>638.70000000000005</v>
      </c>
      <c r="H2812" s="35">
        <f>600+38.52368+0.17632</f>
        <v>638.70000000000005</v>
      </c>
      <c r="I2812" s="35">
        <f>343.8319+19.14167+0.17632</f>
        <v>363.14988999999997</v>
      </c>
      <c r="J2812" s="35">
        <f>343.8319+19.14167+0.17632</f>
        <v>363.14988999999997</v>
      </c>
      <c r="K2812" s="35">
        <f>343.8319+19.14167+0.17632</f>
        <v>363.14988999999997</v>
      </c>
      <c r="L2812" s="35">
        <f t="shared" si="1320"/>
        <v>56.857662439329879</v>
      </c>
      <c r="M2812" s="35">
        <f t="shared" si="1321"/>
        <v>100</v>
      </c>
    </row>
    <row r="2813" spans="1:13" ht="16.5" customHeight="1">
      <c r="A2813" s="64" t="s">
        <v>0</v>
      </c>
      <c r="B2813" s="65" t="s">
        <v>0</v>
      </c>
      <c r="C2813" s="58" t="s">
        <v>0</v>
      </c>
      <c r="D2813" s="58" t="s">
        <v>0</v>
      </c>
      <c r="E2813" s="58" t="s">
        <v>0</v>
      </c>
      <c r="F2813" s="58" t="s">
        <v>0</v>
      </c>
      <c r="G2813" s="66" t="s">
        <v>0</v>
      </c>
      <c r="H2813" s="66" t="s">
        <v>0</v>
      </c>
      <c r="I2813" s="66" t="s">
        <v>0</v>
      </c>
      <c r="J2813" s="66" t="s">
        <v>0</v>
      </c>
      <c r="K2813" s="66" t="s">
        <v>0</v>
      </c>
      <c r="L2813" s="35"/>
      <c r="M2813" s="35"/>
    </row>
    <row r="2814" spans="1:13" ht="25.5">
      <c r="A2814" s="56" t="s">
        <v>1063</v>
      </c>
      <c r="B2814" s="57" t="s">
        <v>1064</v>
      </c>
      <c r="C2814" s="58" t="s">
        <v>0</v>
      </c>
      <c r="D2814" s="58" t="s">
        <v>0</v>
      </c>
      <c r="E2814" s="58" t="s">
        <v>0</v>
      </c>
      <c r="F2814" s="58" t="s">
        <v>0</v>
      </c>
      <c r="G2814" s="30">
        <f>G2815</f>
        <v>53562.8</v>
      </c>
      <c r="H2814" s="30">
        <f t="shared" ref="H2814:K2818" si="1330">H2815</f>
        <v>53562.8</v>
      </c>
      <c r="I2814" s="30">
        <f t="shared" si="1330"/>
        <v>41761</v>
      </c>
      <c r="J2814" s="30">
        <f t="shared" si="1330"/>
        <v>38107.166899999997</v>
      </c>
      <c r="K2814" s="30">
        <f t="shared" si="1330"/>
        <v>35107.091639999999</v>
      </c>
      <c r="L2814" s="30">
        <f t="shared" si="1320"/>
        <v>65.54379464852471</v>
      </c>
      <c r="M2814" s="30">
        <f t="shared" si="1321"/>
        <v>84.066692943176648</v>
      </c>
    </row>
    <row r="2815" spans="1:13">
      <c r="A2815" s="59" t="s">
        <v>92</v>
      </c>
      <c r="B2815" s="28" t="s">
        <v>1064</v>
      </c>
      <c r="C2815" s="28" t="s">
        <v>93</v>
      </c>
      <c r="D2815" s="58" t="s">
        <v>0</v>
      </c>
      <c r="E2815" s="58" t="s">
        <v>0</v>
      </c>
      <c r="F2815" s="58" t="s">
        <v>0</v>
      </c>
      <c r="G2815" s="35">
        <f>G2816</f>
        <v>53562.8</v>
      </c>
      <c r="H2815" s="35">
        <f t="shared" si="1330"/>
        <v>53562.8</v>
      </c>
      <c r="I2815" s="35">
        <f t="shared" si="1330"/>
        <v>41761</v>
      </c>
      <c r="J2815" s="35">
        <f t="shared" si="1330"/>
        <v>38107.166899999997</v>
      </c>
      <c r="K2815" s="35">
        <f t="shared" si="1330"/>
        <v>35107.091639999999</v>
      </c>
      <c r="L2815" s="35">
        <f t="shared" si="1320"/>
        <v>65.54379464852471</v>
      </c>
      <c r="M2815" s="35">
        <f t="shared" si="1321"/>
        <v>84.066692943176648</v>
      </c>
    </row>
    <row r="2816" spans="1:13" ht="25.5">
      <c r="A2816" s="59" t="s">
        <v>1065</v>
      </c>
      <c r="B2816" s="28" t="s">
        <v>1064</v>
      </c>
      <c r="C2816" s="28" t="s">
        <v>93</v>
      </c>
      <c r="D2816" s="28" t="s">
        <v>93</v>
      </c>
      <c r="E2816" s="58" t="s">
        <v>0</v>
      </c>
      <c r="F2816" s="58" t="s">
        <v>0</v>
      </c>
      <c r="G2816" s="35">
        <f>G2817</f>
        <v>53562.8</v>
      </c>
      <c r="H2816" s="35">
        <f t="shared" si="1330"/>
        <v>53562.8</v>
      </c>
      <c r="I2816" s="35">
        <f t="shared" si="1330"/>
        <v>41761</v>
      </c>
      <c r="J2816" s="35">
        <f t="shared" si="1330"/>
        <v>38107.166899999997</v>
      </c>
      <c r="K2816" s="35">
        <f t="shared" si="1330"/>
        <v>35107.091639999999</v>
      </c>
      <c r="L2816" s="35">
        <f t="shared" si="1320"/>
        <v>65.54379464852471</v>
      </c>
      <c r="M2816" s="35">
        <f t="shared" si="1321"/>
        <v>84.066692943176648</v>
      </c>
    </row>
    <row r="2817" spans="1:13" ht="38.25">
      <c r="A2817" s="59" t="s">
        <v>175</v>
      </c>
      <c r="B2817" s="28" t="s">
        <v>1064</v>
      </c>
      <c r="C2817" s="28" t="s">
        <v>93</v>
      </c>
      <c r="D2817" s="28" t="s">
        <v>93</v>
      </c>
      <c r="E2817" s="28" t="s">
        <v>176</v>
      </c>
      <c r="F2817" s="58" t="s">
        <v>0</v>
      </c>
      <c r="G2817" s="35">
        <f>G2818</f>
        <v>53562.8</v>
      </c>
      <c r="H2817" s="35">
        <f t="shared" si="1330"/>
        <v>53562.8</v>
      </c>
      <c r="I2817" s="35">
        <f t="shared" si="1330"/>
        <v>41761</v>
      </c>
      <c r="J2817" s="35">
        <f t="shared" si="1330"/>
        <v>38107.166899999997</v>
      </c>
      <c r="K2817" s="35">
        <f t="shared" si="1330"/>
        <v>35107.091639999999</v>
      </c>
      <c r="L2817" s="35">
        <f t="shared" si="1320"/>
        <v>65.54379464852471</v>
      </c>
      <c r="M2817" s="35">
        <f t="shared" si="1321"/>
        <v>84.066692943176648</v>
      </c>
    </row>
    <row r="2818" spans="1:13" ht="38.25">
      <c r="A2818" s="59" t="s">
        <v>181</v>
      </c>
      <c r="B2818" s="28" t="s">
        <v>1064</v>
      </c>
      <c r="C2818" s="28" t="s">
        <v>93</v>
      </c>
      <c r="D2818" s="28" t="s">
        <v>93</v>
      </c>
      <c r="E2818" s="28" t="s">
        <v>182</v>
      </c>
      <c r="F2818" s="58" t="s">
        <v>0</v>
      </c>
      <c r="G2818" s="35">
        <f>G2819</f>
        <v>53562.8</v>
      </c>
      <c r="H2818" s="35">
        <f t="shared" si="1330"/>
        <v>53562.8</v>
      </c>
      <c r="I2818" s="35">
        <f t="shared" si="1330"/>
        <v>41761</v>
      </c>
      <c r="J2818" s="35">
        <f t="shared" si="1330"/>
        <v>38107.166899999997</v>
      </c>
      <c r="K2818" s="35">
        <f t="shared" si="1330"/>
        <v>35107.091639999999</v>
      </c>
      <c r="L2818" s="35">
        <f t="shared" si="1320"/>
        <v>65.54379464852471</v>
      </c>
      <c r="M2818" s="35">
        <f t="shared" si="1321"/>
        <v>84.066692943176648</v>
      </c>
    </row>
    <row r="2819" spans="1:13" ht="25.5">
      <c r="A2819" s="59" t="s">
        <v>58</v>
      </c>
      <c r="B2819" s="28" t="s">
        <v>1064</v>
      </c>
      <c r="C2819" s="28" t="s">
        <v>93</v>
      </c>
      <c r="D2819" s="28" t="s">
        <v>93</v>
      </c>
      <c r="E2819" s="28" t="s">
        <v>183</v>
      </c>
      <c r="F2819" s="58" t="s">
        <v>0</v>
      </c>
      <c r="G2819" s="35">
        <f>G2820+G2822+G2824</f>
        <v>53562.8</v>
      </c>
      <c r="H2819" s="35">
        <f t="shared" ref="H2819:K2819" si="1331">H2820+H2822+H2824</f>
        <v>53562.8</v>
      </c>
      <c r="I2819" s="35">
        <f t="shared" si="1331"/>
        <v>41761</v>
      </c>
      <c r="J2819" s="35">
        <f t="shared" si="1331"/>
        <v>38107.166899999997</v>
      </c>
      <c r="K2819" s="35">
        <f t="shared" si="1331"/>
        <v>35107.091639999999</v>
      </c>
      <c r="L2819" s="35">
        <f t="shared" si="1320"/>
        <v>65.54379464852471</v>
      </c>
      <c r="M2819" s="35">
        <f t="shared" si="1321"/>
        <v>84.066692943176648</v>
      </c>
    </row>
    <row r="2820" spans="1:13" ht="63.75">
      <c r="A2820" s="59" t="s">
        <v>60</v>
      </c>
      <c r="B2820" s="28" t="s">
        <v>1064</v>
      </c>
      <c r="C2820" s="28" t="s">
        <v>93</v>
      </c>
      <c r="D2820" s="28" t="s">
        <v>93</v>
      </c>
      <c r="E2820" s="28" t="s">
        <v>183</v>
      </c>
      <c r="F2820" s="28" t="s">
        <v>61</v>
      </c>
      <c r="G2820" s="35">
        <f>G2821</f>
        <v>47866.400000000001</v>
      </c>
      <c r="H2820" s="35">
        <f t="shared" ref="H2820:K2820" si="1332">H2821</f>
        <v>47866.400000000001</v>
      </c>
      <c r="I2820" s="35">
        <f t="shared" si="1332"/>
        <v>36796</v>
      </c>
      <c r="J2820" s="35">
        <f t="shared" si="1332"/>
        <v>34448.199999999997</v>
      </c>
      <c r="K2820" s="35">
        <f t="shared" si="1332"/>
        <v>31504.470429999998</v>
      </c>
      <c r="L2820" s="35">
        <f t="shared" si="1320"/>
        <v>65.817505452676599</v>
      </c>
      <c r="M2820" s="35">
        <f t="shared" si="1321"/>
        <v>85.619280438091096</v>
      </c>
    </row>
    <row r="2821" spans="1:13" ht="25.5">
      <c r="A2821" s="59" t="s">
        <v>62</v>
      </c>
      <c r="B2821" s="28" t="s">
        <v>1064</v>
      </c>
      <c r="C2821" s="28" t="s">
        <v>93</v>
      </c>
      <c r="D2821" s="28" t="s">
        <v>93</v>
      </c>
      <c r="E2821" s="28" t="s">
        <v>183</v>
      </c>
      <c r="F2821" s="28" t="s">
        <v>63</v>
      </c>
      <c r="G2821" s="35">
        <v>47866.400000000001</v>
      </c>
      <c r="H2821" s="35">
        <f>35921.6+1313.9+10630.9</f>
        <v>47866.400000000001</v>
      </c>
      <c r="I2821" s="35">
        <f>27500+1250+8046</f>
        <v>36796</v>
      </c>
      <c r="J2821" s="35">
        <f>25600+1250+7598.2</f>
        <v>34448.199999999997</v>
      </c>
      <c r="K2821" s="35">
        <f>23524.58583+1248.63844+6731.24616</f>
        <v>31504.470429999998</v>
      </c>
      <c r="L2821" s="35">
        <f t="shared" si="1320"/>
        <v>65.817505452676599</v>
      </c>
      <c r="M2821" s="35">
        <f t="shared" si="1321"/>
        <v>85.619280438091096</v>
      </c>
    </row>
    <row r="2822" spans="1:13" ht="25.5">
      <c r="A2822" s="59" t="s">
        <v>64</v>
      </c>
      <c r="B2822" s="28" t="s">
        <v>1064</v>
      </c>
      <c r="C2822" s="28" t="s">
        <v>93</v>
      </c>
      <c r="D2822" s="28" t="s">
        <v>93</v>
      </c>
      <c r="E2822" s="28" t="s">
        <v>183</v>
      </c>
      <c r="F2822" s="28" t="s">
        <v>65</v>
      </c>
      <c r="G2822" s="35">
        <f>G2823</f>
        <v>5621.4</v>
      </c>
      <c r="H2822" s="35">
        <f t="shared" ref="H2822:K2822" si="1333">H2823</f>
        <v>5567.4331000000002</v>
      </c>
      <c r="I2822" s="35">
        <f t="shared" si="1333"/>
        <v>4836.0330999999996</v>
      </c>
      <c r="J2822" s="35">
        <f t="shared" si="1333"/>
        <v>3530</v>
      </c>
      <c r="K2822" s="35">
        <f t="shared" si="1333"/>
        <v>3473.6543099999999</v>
      </c>
      <c r="L2822" s="35">
        <f t="shared" si="1320"/>
        <v>62.392385280749927</v>
      </c>
      <c r="M2822" s="35">
        <f t="shared" si="1321"/>
        <v>71.828588394070337</v>
      </c>
    </row>
    <row r="2823" spans="1:13" ht="25.5">
      <c r="A2823" s="59" t="s">
        <v>66</v>
      </c>
      <c r="B2823" s="28" t="s">
        <v>1064</v>
      </c>
      <c r="C2823" s="28" t="s">
        <v>93</v>
      </c>
      <c r="D2823" s="28" t="s">
        <v>93</v>
      </c>
      <c r="E2823" s="28" t="s">
        <v>183</v>
      </c>
      <c r="F2823" s="28" t="s">
        <v>67</v>
      </c>
      <c r="G2823" s="35">
        <v>5621.4</v>
      </c>
      <c r="H2823" s="35">
        <v>5567.4331000000002</v>
      </c>
      <c r="I2823" s="35">
        <v>4836.0330999999996</v>
      </c>
      <c r="J2823" s="35">
        <v>3530</v>
      </c>
      <c r="K2823" s="35">
        <v>3473.6543099999999</v>
      </c>
      <c r="L2823" s="35">
        <f t="shared" si="1320"/>
        <v>62.392385280749927</v>
      </c>
      <c r="M2823" s="35">
        <f t="shared" si="1321"/>
        <v>71.828588394070337</v>
      </c>
    </row>
    <row r="2824" spans="1:13">
      <c r="A2824" s="59" t="s">
        <v>72</v>
      </c>
      <c r="B2824" s="28" t="s">
        <v>1064</v>
      </c>
      <c r="C2824" s="28" t="s">
        <v>93</v>
      </c>
      <c r="D2824" s="28" t="s">
        <v>93</v>
      </c>
      <c r="E2824" s="28" t="s">
        <v>183</v>
      </c>
      <c r="F2824" s="28" t="s">
        <v>73</v>
      </c>
      <c r="G2824" s="35">
        <f>G2825</f>
        <v>75</v>
      </c>
      <c r="H2824" s="35">
        <f t="shared" ref="H2824:K2824" si="1334">H2825</f>
        <v>128.96690000000001</v>
      </c>
      <c r="I2824" s="35">
        <f t="shared" si="1334"/>
        <v>128.96690000000001</v>
      </c>
      <c r="J2824" s="35">
        <f t="shared" si="1334"/>
        <v>128.96690000000001</v>
      </c>
      <c r="K2824" s="35">
        <f t="shared" si="1334"/>
        <v>128.96690000000001</v>
      </c>
      <c r="L2824" s="35">
        <f t="shared" si="1320"/>
        <v>100</v>
      </c>
      <c r="M2824" s="35">
        <f t="shared" si="1321"/>
        <v>100</v>
      </c>
    </row>
    <row r="2825" spans="1:13">
      <c r="A2825" s="59" t="s">
        <v>84</v>
      </c>
      <c r="B2825" s="28" t="s">
        <v>1064</v>
      </c>
      <c r="C2825" s="28" t="s">
        <v>93</v>
      </c>
      <c r="D2825" s="28" t="s">
        <v>93</v>
      </c>
      <c r="E2825" s="28" t="s">
        <v>183</v>
      </c>
      <c r="F2825" s="28" t="s">
        <v>85</v>
      </c>
      <c r="G2825" s="35">
        <v>75</v>
      </c>
      <c r="H2825" s="35">
        <v>128.96690000000001</v>
      </c>
      <c r="I2825" s="35">
        <v>128.96690000000001</v>
      </c>
      <c r="J2825" s="35">
        <v>128.96690000000001</v>
      </c>
      <c r="K2825" s="35">
        <v>128.96690000000001</v>
      </c>
      <c r="L2825" s="35">
        <f t="shared" si="1320"/>
        <v>100</v>
      </c>
      <c r="M2825" s="35">
        <f t="shared" si="1321"/>
        <v>100</v>
      </c>
    </row>
    <row r="2826" spans="1:13">
      <c r="A2826" s="64" t="s">
        <v>0</v>
      </c>
      <c r="B2826" s="65" t="s">
        <v>0</v>
      </c>
      <c r="C2826" s="58" t="s">
        <v>0</v>
      </c>
      <c r="D2826" s="58" t="s">
        <v>0</v>
      </c>
      <c r="E2826" s="58" t="s">
        <v>0</v>
      </c>
      <c r="F2826" s="58" t="s">
        <v>0</v>
      </c>
      <c r="G2826" s="66" t="s">
        <v>0</v>
      </c>
      <c r="H2826" s="66" t="s">
        <v>0</v>
      </c>
      <c r="I2826" s="66" t="s">
        <v>0</v>
      </c>
      <c r="J2826" s="66" t="s">
        <v>0</v>
      </c>
      <c r="K2826" s="66" t="s">
        <v>0</v>
      </c>
      <c r="L2826" s="35"/>
      <c r="M2826" s="35"/>
    </row>
    <row r="2827" spans="1:13" ht="38.25">
      <c r="A2827" s="56" t="s">
        <v>1066</v>
      </c>
      <c r="B2827" s="57" t="s">
        <v>1067</v>
      </c>
      <c r="C2827" s="58" t="s">
        <v>0</v>
      </c>
      <c r="D2827" s="58" t="s">
        <v>0</v>
      </c>
      <c r="E2827" s="58" t="s">
        <v>0</v>
      </c>
      <c r="F2827" s="58" t="s">
        <v>0</v>
      </c>
      <c r="G2827" s="30">
        <f>G2828</f>
        <v>92752.4</v>
      </c>
      <c r="H2827" s="30">
        <f t="shared" ref="H2827:K2827" si="1335">H2828</f>
        <v>92752.4</v>
      </c>
      <c r="I2827" s="30">
        <f t="shared" si="1335"/>
        <v>64423.8</v>
      </c>
      <c r="J2827" s="30">
        <f t="shared" si="1335"/>
        <v>64423.8</v>
      </c>
      <c r="K2827" s="30">
        <f t="shared" si="1335"/>
        <v>59827.536630000002</v>
      </c>
      <c r="L2827" s="30">
        <f t="shared" si="1320"/>
        <v>64.502413554797513</v>
      </c>
      <c r="M2827" s="30">
        <f t="shared" si="1321"/>
        <v>92.865581710485884</v>
      </c>
    </row>
    <row r="2828" spans="1:13">
      <c r="A2828" s="59" t="s">
        <v>1068</v>
      </c>
      <c r="B2828" s="28" t="s">
        <v>1067</v>
      </c>
      <c r="C2828" s="28" t="s">
        <v>51</v>
      </c>
      <c r="D2828" s="58" t="s">
        <v>0</v>
      </c>
      <c r="E2828" s="58" t="s">
        <v>0</v>
      </c>
      <c r="F2828" s="58" t="s">
        <v>0</v>
      </c>
      <c r="G2828" s="35">
        <f>G2829+G2843</f>
        <v>92752.4</v>
      </c>
      <c r="H2828" s="35">
        <f t="shared" ref="H2828:K2828" si="1336">H2829+H2843</f>
        <v>92752.4</v>
      </c>
      <c r="I2828" s="35">
        <f t="shared" si="1336"/>
        <v>64423.8</v>
      </c>
      <c r="J2828" s="35">
        <f t="shared" si="1336"/>
        <v>64423.8</v>
      </c>
      <c r="K2828" s="35">
        <f t="shared" si="1336"/>
        <v>59827.536630000002</v>
      </c>
      <c r="L2828" s="35">
        <f t="shared" si="1320"/>
        <v>64.502413554797513</v>
      </c>
      <c r="M2828" s="35">
        <f t="shared" si="1321"/>
        <v>92.865581710485884</v>
      </c>
    </row>
    <row r="2829" spans="1:13">
      <c r="A2829" s="59" t="s">
        <v>1069</v>
      </c>
      <c r="B2829" s="28" t="s">
        <v>1067</v>
      </c>
      <c r="C2829" s="28" t="s">
        <v>51</v>
      </c>
      <c r="D2829" s="28" t="s">
        <v>106</v>
      </c>
      <c r="E2829" s="58" t="s">
        <v>0</v>
      </c>
      <c r="F2829" s="58" t="s">
        <v>0</v>
      </c>
      <c r="G2829" s="35">
        <f>G2830+G2834+G2839</f>
        <v>44062.7</v>
      </c>
      <c r="H2829" s="35">
        <f t="shared" ref="H2829:K2829" si="1337">H2830+H2834+H2839</f>
        <v>46177.7</v>
      </c>
      <c r="I2829" s="35">
        <f t="shared" si="1337"/>
        <v>34991.800000000003</v>
      </c>
      <c r="J2829" s="35">
        <f t="shared" si="1337"/>
        <v>34991.800000000003</v>
      </c>
      <c r="K2829" s="35">
        <f t="shared" si="1337"/>
        <v>34991.800000000003</v>
      </c>
      <c r="L2829" s="35">
        <f t="shared" si="1320"/>
        <v>75.776402895770048</v>
      </c>
      <c r="M2829" s="35">
        <f t="shared" si="1321"/>
        <v>100</v>
      </c>
    </row>
    <row r="2830" spans="1:13" ht="38.25">
      <c r="A2830" s="59" t="s">
        <v>1049</v>
      </c>
      <c r="B2830" s="28" t="s">
        <v>1067</v>
      </c>
      <c r="C2830" s="28" t="s">
        <v>51</v>
      </c>
      <c r="D2830" s="28" t="s">
        <v>106</v>
      </c>
      <c r="E2830" s="28" t="s">
        <v>1050</v>
      </c>
      <c r="F2830" s="58" t="s">
        <v>0</v>
      </c>
      <c r="G2830" s="35">
        <f>G2831</f>
        <v>2400</v>
      </c>
      <c r="H2830" s="35">
        <f t="shared" ref="H2830:K2832" si="1338">H2831</f>
        <v>2400</v>
      </c>
      <c r="I2830" s="35">
        <f t="shared" si="1338"/>
        <v>2400</v>
      </c>
      <c r="J2830" s="35">
        <f t="shared" si="1338"/>
        <v>2400</v>
      </c>
      <c r="K2830" s="35">
        <f t="shared" si="1338"/>
        <v>2400</v>
      </c>
      <c r="L2830" s="35">
        <f t="shared" si="1320"/>
        <v>100</v>
      </c>
      <c r="M2830" s="35">
        <f t="shared" si="1321"/>
        <v>100</v>
      </c>
    </row>
    <row r="2831" spans="1:13" ht="25.5">
      <c r="A2831" s="59" t="s">
        <v>76</v>
      </c>
      <c r="B2831" s="28" t="s">
        <v>1067</v>
      </c>
      <c r="C2831" s="28" t="s">
        <v>51</v>
      </c>
      <c r="D2831" s="28" t="s">
        <v>106</v>
      </c>
      <c r="E2831" s="28" t="s">
        <v>1054</v>
      </c>
      <c r="F2831" s="58" t="s">
        <v>0</v>
      </c>
      <c r="G2831" s="35">
        <f>G2832</f>
        <v>2400</v>
      </c>
      <c r="H2831" s="35">
        <f t="shared" si="1338"/>
        <v>2400</v>
      </c>
      <c r="I2831" s="35">
        <f t="shared" si="1338"/>
        <v>2400</v>
      </c>
      <c r="J2831" s="35">
        <f t="shared" si="1338"/>
        <v>2400</v>
      </c>
      <c r="K2831" s="35">
        <f t="shared" si="1338"/>
        <v>2400</v>
      </c>
      <c r="L2831" s="35">
        <f t="shared" si="1320"/>
        <v>100</v>
      </c>
      <c r="M2831" s="35">
        <f t="shared" si="1321"/>
        <v>100</v>
      </c>
    </row>
    <row r="2832" spans="1:13" ht="25.5">
      <c r="A2832" s="59" t="s">
        <v>80</v>
      </c>
      <c r="B2832" s="28" t="s">
        <v>1067</v>
      </c>
      <c r="C2832" s="28" t="s">
        <v>51</v>
      </c>
      <c r="D2832" s="28" t="s">
        <v>106</v>
      </c>
      <c r="E2832" s="28" t="s">
        <v>1054</v>
      </c>
      <c r="F2832" s="28" t="s">
        <v>81</v>
      </c>
      <c r="G2832" s="35">
        <f>G2833</f>
        <v>2400</v>
      </c>
      <c r="H2832" s="35">
        <f t="shared" si="1338"/>
        <v>2400</v>
      </c>
      <c r="I2832" s="35">
        <f t="shared" si="1338"/>
        <v>2400</v>
      </c>
      <c r="J2832" s="35">
        <f t="shared" si="1338"/>
        <v>2400</v>
      </c>
      <c r="K2832" s="35">
        <f t="shared" si="1338"/>
        <v>2400</v>
      </c>
      <c r="L2832" s="35">
        <f t="shared" si="1320"/>
        <v>100</v>
      </c>
      <c r="M2832" s="35">
        <f t="shared" si="1321"/>
        <v>100</v>
      </c>
    </row>
    <row r="2833" spans="1:13">
      <c r="A2833" s="59" t="s">
        <v>82</v>
      </c>
      <c r="B2833" s="28" t="s">
        <v>1067</v>
      </c>
      <c r="C2833" s="28" t="s">
        <v>51</v>
      </c>
      <c r="D2833" s="28" t="s">
        <v>106</v>
      </c>
      <c r="E2833" s="28" t="s">
        <v>1054</v>
      </c>
      <c r="F2833" s="28" t="s">
        <v>83</v>
      </c>
      <c r="G2833" s="35">
        <v>2400</v>
      </c>
      <c r="H2833" s="35">
        <v>2400</v>
      </c>
      <c r="I2833" s="35">
        <v>2400</v>
      </c>
      <c r="J2833" s="35">
        <v>2400</v>
      </c>
      <c r="K2833" s="35">
        <v>2400</v>
      </c>
      <c r="L2833" s="35">
        <f t="shared" si="1320"/>
        <v>100</v>
      </c>
      <c r="M2833" s="35">
        <f t="shared" si="1321"/>
        <v>100</v>
      </c>
    </row>
    <row r="2834" spans="1:13" ht="38.25">
      <c r="A2834" s="59" t="s">
        <v>734</v>
      </c>
      <c r="B2834" s="28" t="s">
        <v>1067</v>
      </c>
      <c r="C2834" s="28" t="s">
        <v>51</v>
      </c>
      <c r="D2834" s="28" t="s">
        <v>106</v>
      </c>
      <c r="E2834" s="28" t="s">
        <v>735</v>
      </c>
      <c r="F2834" s="58" t="s">
        <v>0</v>
      </c>
      <c r="G2834" s="35">
        <f>G2835</f>
        <v>40142.699999999997</v>
      </c>
      <c r="H2834" s="35">
        <f t="shared" ref="H2834:K2837" si="1339">H2835</f>
        <v>42257.7</v>
      </c>
      <c r="I2834" s="35">
        <f t="shared" si="1339"/>
        <v>31231.8</v>
      </c>
      <c r="J2834" s="35">
        <f t="shared" si="1339"/>
        <v>31231.8</v>
      </c>
      <c r="K2834" s="35">
        <f t="shared" si="1339"/>
        <v>31231.8</v>
      </c>
      <c r="L2834" s="35">
        <f t="shared" si="1320"/>
        <v>73.90795050369519</v>
      </c>
      <c r="M2834" s="35">
        <f t="shared" si="1321"/>
        <v>100</v>
      </c>
    </row>
    <row r="2835" spans="1:13" ht="51">
      <c r="A2835" s="59" t="s">
        <v>1070</v>
      </c>
      <c r="B2835" s="28" t="s">
        <v>1067</v>
      </c>
      <c r="C2835" s="28" t="s">
        <v>51</v>
      </c>
      <c r="D2835" s="28" t="s">
        <v>106</v>
      </c>
      <c r="E2835" s="28" t="s">
        <v>1071</v>
      </c>
      <c r="F2835" s="58" t="s">
        <v>0</v>
      </c>
      <c r="G2835" s="35">
        <f>G2836</f>
        <v>40142.699999999997</v>
      </c>
      <c r="H2835" s="35">
        <f t="shared" si="1339"/>
        <v>42257.7</v>
      </c>
      <c r="I2835" s="35">
        <f t="shared" si="1339"/>
        <v>31231.8</v>
      </c>
      <c r="J2835" s="35">
        <f t="shared" si="1339"/>
        <v>31231.8</v>
      </c>
      <c r="K2835" s="35">
        <f t="shared" si="1339"/>
        <v>31231.8</v>
      </c>
      <c r="L2835" s="35">
        <f t="shared" si="1320"/>
        <v>73.90795050369519</v>
      </c>
      <c r="M2835" s="35">
        <f t="shared" si="1321"/>
        <v>100</v>
      </c>
    </row>
    <row r="2836" spans="1:13" ht="25.5">
      <c r="A2836" s="59" t="s">
        <v>76</v>
      </c>
      <c r="B2836" s="28" t="s">
        <v>1067</v>
      </c>
      <c r="C2836" s="28" t="s">
        <v>51</v>
      </c>
      <c r="D2836" s="28" t="s">
        <v>106</v>
      </c>
      <c r="E2836" s="28" t="s">
        <v>1072</v>
      </c>
      <c r="F2836" s="58" t="s">
        <v>0</v>
      </c>
      <c r="G2836" s="35">
        <f>G2837</f>
        <v>40142.699999999997</v>
      </c>
      <c r="H2836" s="35">
        <f t="shared" si="1339"/>
        <v>42257.7</v>
      </c>
      <c r="I2836" s="35">
        <f t="shared" si="1339"/>
        <v>31231.8</v>
      </c>
      <c r="J2836" s="35">
        <f t="shared" si="1339"/>
        <v>31231.8</v>
      </c>
      <c r="K2836" s="35">
        <f t="shared" si="1339"/>
        <v>31231.8</v>
      </c>
      <c r="L2836" s="35">
        <f t="shared" si="1320"/>
        <v>73.90795050369519</v>
      </c>
      <c r="M2836" s="35">
        <f t="shared" si="1321"/>
        <v>100</v>
      </c>
    </row>
    <row r="2837" spans="1:13" ht="25.5">
      <c r="A2837" s="59" t="s">
        <v>80</v>
      </c>
      <c r="B2837" s="28" t="s">
        <v>1067</v>
      </c>
      <c r="C2837" s="28" t="s">
        <v>51</v>
      </c>
      <c r="D2837" s="28" t="s">
        <v>106</v>
      </c>
      <c r="E2837" s="28" t="s">
        <v>1072</v>
      </c>
      <c r="F2837" s="28" t="s">
        <v>81</v>
      </c>
      <c r="G2837" s="35">
        <f>G2838</f>
        <v>40142.699999999997</v>
      </c>
      <c r="H2837" s="35">
        <f t="shared" si="1339"/>
        <v>42257.7</v>
      </c>
      <c r="I2837" s="35">
        <f t="shared" si="1339"/>
        <v>31231.8</v>
      </c>
      <c r="J2837" s="35">
        <f t="shared" si="1339"/>
        <v>31231.8</v>
      </c>
      <c r="K2837" s="35">
        <f t="shared" si="1339"/>
        <v>31231.8</v>
      </c>
      <c r="L2837" s="35">
        <f t="shared" si="1320"/>
        <v>73.90795050369519</v>
      </c>
      <c r="M2837" s="35">
        <f t="shared" si="1321"/>
        <v>100</v>
      </c>
    </row>
    <row r="2838" spans="1:13">
      <c r="A2838" s="59" t="s">
        <v>82</v>
      </c>
      <c r="B2838" s="28" t="s">
        <v>1067</v>
      </c>
      <c r="C2838" s="28" t="s">
        <v>51</v>
      </c>
      <c r="D2838" s="28" t="s">
        <v>106</v>
      </c>
      <c r="E2838" s="28" t="s">
        <v>1072</v>
      </c>
      <c r="F2838" s="28" t="s">
        <v>83</v>
      </c>
      <c r="G2838" s="35">
        <v>40142.699999999997</v>
      </c>
      <c r="H2838" s="35">
        <v>42257.7</v>
      </c>
      <c r="I2838" s="35">
        <v>31231.8</v>
      </c>
      <c r="J2838" s="35">
        <v>31231.8</v>
      </c>
      <c r="K2838" s="35">
        <v>31231.8</v>
      </c>
      <c r="L2838" s="35">
        <f t="shared" si="1320"/>
        <v>73.90795050369519</v>
      </c>
      <c r="M2838" s="35">
        <f t="shared" si="1321"/>
        <v>100</v>
      </c>
    </row>
    <row r="2839" spans="1:13" ht="51">
      <c r="A2839" s="59" t="s">
        <v>377</v>
      </c>
      <c r="B2839" s="28" t="s">
        <v>1067</v>
      </c>
      <c r="C2839" s="28" t="s">
        <v>51</v>
      </c>
      <c r="D2839" s="28" t="s">
        <v>106</v>
      </c>
      <c r="E2839" s="28" t="s">
        <v>378</v>
      </c>
      <c r="F2839" s="58" t="s">
        <v>0</v>
      </c>
      <c r="G2839" s="35">
        <f>G2840</f>
        <v>1520</v>
      </c>
      <c r="H2839" s="35">
        <f t="shared" ref="H2839:K2841" si="1340">H2840</f>
        <v>1520</v>
      </c>
      <c r="I2839" s="35">
        <f t="shared" si="1340"/>
        <v>1360</v>
      </c>
      <c r="J2839" s="35">
        <f t="shared" si="1340"/>
        <v>1360</v>
      </c>
      <c r="K2839" s="35">
        <f t="shared" si="1340"/>
        <v>1360</v>
      </c>
      <c r="L2839" s="35">
        <f t="shared" si="1320"/>
        <v>89.473684210526315</v>
      </c>
      <c r="M2839" s="35">
        <f t="shared" si="1321"/>
        <v>100</v>
      </c>
    </row>
    <row r="2840" spans="1:13" ht="25.5">
      <c r="A2840" s="59" t="s">
        <v>76</v>
      </c>
      <c r="B2840" s="28" t="s">
        <v>1067</v>
      </c>
      <c r="C2840" s="28" t="s">
        <v>51</v>
      </c>
      <c r="D2840" s="28" t="s">
        <v>106</v>
      </c>
      <c r="E2840" s="28" t="s">
        <v>379</v>
      </c>
      <c r="F2840" s="58" t="s">
        <v>0</v>
      </c>
      <c r="G2840" s="35">
        <f>G2841</f>
        <v>1520</v>
      </c>
      <c r="H2840" s="35">
        <f t="shared" si="1340"/>
        <v>1520</v>
      </c>
      <c r="I2840" s="35">
        <f t="shared" si="1340"/>
        <v>1360</v>
      </c>
      <c r="J2840" s="35">
        <f t="shared" si="1340"/>
        <v>1360</v>
      </c>
      <c r="K2840" s="35">
        <f t="shared" si="1340"/>
        <v>1360</v>
      </c>
      <c r="L2840" s="35">
        <f t="shared" si="1320"/>
        <v>89.473684210526315</v>
      </c>
      <c r="M2840" s="35">
        <f t="shared" si="1321"/>
        <v>100</v>
      </c>
    </row>
    <row r="2841" spans="1:13" ht="25.5">
      <c r="A2841" s="59" t="s">
        <v>80</v>
      </c>
      <c r="B2841" s="28" t="s">
        <v>1067</v>
      </c>
      <c r="C2841" s="28" t="s">
        <v>51</v>
      </c>
      <c r="D2841" s="28" t="s">
        <v>106</v>
      </c>
      <c r="E2841" s="28" t="s">
        <v>379</v>
      </c>
      <c r="F2841" s="28" t="s">
        <v>81</v>
      </c>
      <c r="G2841" s="35">
        <f>G2842</f>
        <v>1520</v>
      </c>
      <c r="H2841" s="35">
        <f t="shared" si="1340"/>
        <v>1520</v>
      </c>
      <c r="I2841" s="35">
        <f t="shared" si="1340"/>
        <v>1360</v>
      </c>
      <c r="J2841" s="35">
        <f t="shared" si="1340"/>
        <v>1360</v>
      </c>
      <c r="K2841" s="35">
        <f t="shared" si="1340"/>
        <v>1360</v>
      </c>
      <c r="L2841" s="35">
        <f t="shared" si="1320"/>
        <v>89.473684210526315</v>
      </c>
      <c r="M2841" s="35">
        <f t="shared" si="1321"/>
        <v>100</v>
      </c>
    </row>
    <row r="2842" spans="1:13">
      <c r="A2842" s="59" t="s">
        <v>82</v>
      </c>
      <c r="B2842" s="28" t="s">
        <v>1067</v>
      </c>
      <c r="C2842" s="28" t="s">
        <v>51</v>
      </c>
      <c r="D2842" s="28" t="s">
        <v>106</v>
      </c>
      <c r="E2842" s="28" t="s">
        <v>379</v>
      </c>
      <c r="F2842" s="28" t="s">
        <v>83</v>
      </c>
      <c r="G2842" s="35">
        <v>1520</v>
      </c>
      <c r="H2842" s="35">
        <v>1520</v>
      </c>
      <c r="I2842" s="35">
        <v>1360</v>
      </c>
      <c r="J2842" s="35">
        <v>1360</v>
      </c>
      <c r="K2842" s="35">
        <v>1360</v>
      </c>
      <c r="L2842" s="35">
        <f t="shared" si="1320"/>
        <v>89.473684210526315</v>
      </c>
      <c r="M2842" s="35">
        <f t="shared" si="1321"/>
        <v>100</v>
      </c>
    </row>
    <row r="2843" spans="1:13" ht="25.5">
      <c r="A2843" s="59" t="s">
        <v>1073</v>
      </c>
      <c r="B2843" s="28" t="s">
        <v>1067</v>
      </c>
      <c r="C2843" s="28" t="s">
        <v>51</v>
      </c>
      <c r="D2843" s="28" t="s">
        <v>19</v>
      </c>
      <c r="E2843" s="58" t="s">
        <v>0</v>
      </c>
      <c r="F2843" s="58" t="s">
        <v>0</v>
      </c>
      <c r="G2843" s="35">
        <f>G2844+G2849+G2854</f>
        <v>48689.7</v>
      </c>
      <c r="H2843" s="35">
        <f t="shared" ref="H2843:K2843" si="1341">H2844+H2849+H2854</f>
        <v>46574.7</v>
      </c>
      <c r="I2843" s="35">
        <f t="shared" si="1341"/>
        <v>29432</v>
      </c>
      <c r="J2843" s="35">
        <f t="shared" si="1341"/>
        <v>29432</v>
      </c>
      <c r="K2843" s="35">
        <f t="shared" si="1341"/>
        <v>24835.736629999999</v>
      </c>
      <c r="L2843" s="35">
        <f t="shared" si="1320"/>
        <v>53.324523035038339</v>
      </c>
      <c r="M2843" s="35">
        <f t="shared" si="1321"/>
        <v>84.383448729274264</v>
      </c>
    </row>
    <row r="2844" spans="1:13" ht="38.25">
      <c r="A2844" s="59" t="s">
        <v>299</v>
      </c>
      <c r="B2844" s="28" t="s">
        <v>1067</v>
      </c>
      <c r="C2844" s="28" t="s">
        <v>51</v>
      </c>
      <c r="D2844" s="28" t="s">
        <v>19</v>
      </c>
      <c r="E2844" s="28" t="s">
        <v>300</v>
      </c>
      <c r="F2844" s="58" t="s">
        <v>0</v>
      </c>
      <c r="G2844" s="35">
        <f>G2845</f>
        <v>956</v>
      </c>
      <c r="H2844" s="35">
        <f t="shared" ref="H2844:K2847" si="1342">H2845</f>
        <v>956</v>
      </c>
      <c r="I2844" s="35">
        <f t="shared" si="1342"/>
        <v>356</v>
      </c>
      <c r="J2844" s="35">
        <f t="shared" si="1342"/>
        <v>356</v>
      </c>
      <c r="K2844" s="35">
        <f t="shared" si="1342"/>
        <v>0</v>
      </c>
      <c r="L2844" s="35">
        <f t="shared" si="1320"/>
        <v>0</v>
      </c>
      <c r="M2844" s="35">
        <f t="shared" si="1321"/>
        <v>0</v>
      </c>
    </row>
    <row r="2845" spans="1:13">
      <c r="A2845" s="59" t="s">
        <v>301</v>
      </c>
      <c r="B2845" s="28" t="s">
        <v>1067</v>
      </c>
      <c r="C2845" s="28" t="s">
        <v>51</v>
      </c>
      <c r="D2845" s="28" t="s">
        <v>19</v>
      </c>
      <c r="E2845" s="28" t="s">
        <v>302</v>
      </c>
      <c r="F2845" s="58" t="s">
        <v>0</v>
      </c>
      <c r="G2845" s="35">
        <f>G2846</f>
        <v>956</v>
      </c>
      <c r="H2845" s="35">
        <f t="shared" si="1342"/>
        <v>956</v>
      </c>
      <c r="I2845" s="35">
        <f t="shared" si="1342"/>
        <v>356</v>
      </c>
      <c r="J2845" s="35">
        <f t="shared" si="1342"/>
        <v>356</v>
      </c>
      <c r="K2845" s="35">
        <f t="shared" si="1342"/>
        <v>0</v>
      </c>
      <c r="L2845" s="35">
        <f t="shared" si="1320"/>
        <v>0</v>
      </c>
      <c r="M2845" s="35">
        <f t="shared" si="1321"/>
        <v>0</v>
      </c>
    </row>
    <row r="2846" spans="1:13" ht="25.5">
      <c r="A2846" s="59" t="s">
        <v>1074</v>
      </c>
      <c r="B2846" s="28" t="s">
        <v>1067</v>
      </c>
      <c r="C2846" s="28" t="s">
        <v>51</v>
      </c>
      <c r="D2846" s="28" t="s">
        <v>19</v>
      </c>
      <c r="E2846" s="28" t="s">
        <v>1075</v>
      </c>
      <c r="F2846" s="58" t="s">
        <v>0</v>
      </c>
      <c r="G2846" s="35">
        <f>G2847</f>
        <v>956</v>
      </c>
      <c r="H2846" s="35">
        <f t="shared" si="1342"/>
        <v>956</v>
      </c>
      <c r="I2846" s="35">
        <f t="shared" si="1342"/>
        <v>356</v>
      </c>
      <c r="J2846" s="35">
        <f t="shared" si="1342"/>
        <v>356</v>
      </c>
      <c r="K2846" s="35">
        <f t="shared" si="1342"/>
        <v>0</v>
      </c>
      <c r="L2846" s="35">
        <f t="shared" si="1320"/>
        <v>0</v>
      </c>
      <c r="M2846" s="35">
        <f t="shared" si="1321"/>
        <v>0</v>
      </c>
    </row>
    <row r="2847" spans="1:13" ht="25.5">
      <c r="A2847" s="59" t="s">
        <v>64</v>
      </c>
      <c r="B2847" s="28" t="s">
        <v>1067</v>
      </c>
      <c r="C2847" s="28" t="s">
        <v>51</v>
      </c>
      <c r="D2847" s="28" t="s">
        <v>19</v>
      </c>
      <c r="E2847" s="28" t="s">
        <v>1075</v>
      </c>
      <c r="F2847" s="28" t="s">
        <v>65</v>
      </c>
      <c r="G2847" s="35">
        <f>G2848</f>
        <v>956</v>
      </c>
      <c r="H2847" s="35">
        <f t="shared" si="1342"/>
        <v>956</v>
      </c>
      <c r="I2847" s="35">
        <f t="shared" si="1342"/>
        <v>356</v>
      </c>
      <c r="J2847" s="35">
        <f t="shared" si="1342"/>
        <v>356</v>
      </c>
      <c r="K2847" s="35">
        <f t="shared" si="1342"/>
        <v>0</v>
      </c>
      <c r="L2847" s="35">
        <f t="shared" si="1320"/>
        <v>0</v>
      </c>
      <c r="M2847" s="35">
        <f t="shared" si="1321"/>
        <v>0</v>
      </c>
    </row>
    <row r="2848" spans="1:13" ht="25.5">
      <c r="A2848" s="59" t="s">
        <v>66</v>
      </c>
      <c r="B2848" s="28" t="s">
        <v>1067</v>
      </c>
      <c r="C2848" s="28" t="s">
        <v>51</v>
      </c>
      <c r="D2848" s="28" t="s">
        <v>19</v>
      </c>
      <c r="E2848" s="28" t="s">
        <v>1075</v>
      </c>
      <c r="F2848" s="28" t="s">
        <v>67</v>
      </c>
      <c r="G2848" s="35">
        <v>956</v>
      </c>
      <c r="H2848" s="35">
        <v>956</v>
      </c>
      <c r="I2848" s="35">
        <v>356</v>
      </c>
      <c r="J2848" s="35">
        <v>356</v>
      </c>
      <c r="K2848" s="35">
        <v>0</v>
      </c>
      <c r="L2848" s="35">
        <f t="shared" si="1320"/>
        <v>0</v>
      </c>
      <c r="M2848" s="35">
        <f t="shared" si="1321"/>
        <v>0</v>
      </c>
    </row>
    <row r="2849" spans="1:13" ht="76.5">
      <c r="A2849" s="59" t="s">
        <v>86</v>
      </c>
      <c r="B2849" s="28" t="s">
        <v>1067</v>
      </c>
      <c r="C2849" s="28" t="s">
        <v>51</v>
      </c>
      <c r="D2849" s="28" t="s">
        <v>19</v>
      </c>
      <c r="E2849" s="28" t="s">
        <v>87</v>
      </c>
      <c r="F2849" s="58" t="s">
        <v>0</v>
      </c>
      <c r="G2849" s="35">
        <f>G2850</f>
        <v>1233</v>
      </c>
      <c r="H2849" s="35">
        <f t="shared" ref="H2849:K2852" si="1343">H2850</f>
        <v>1233</v>
      </c>
      <c r="I2849" s="35">
        <f t="shared" si="1343"/>
        <v>720</v>
      </c>
      <c r="J2849" s="35">
        <f t="shared" si="1343"/>
        <v>720</v>
      </c>
      <c r="K2849" s="35">
        <f t="shared" si="1343"/>
        <v>508.61250000000001</v>
      </c>
      <c r="L2849" s="35">
        <f t="shared" si="1320"/>
        <v>41.25</v>
      </c>
      <c r="M2849" s="35">
        <f t="shared" si="1321"/>
        <v>70.640625</v>
      </c>
    </row>
    <row r="2850" spans="1:13" ht="25.5">
      <c r="A2850" s="59" t="s">
        <v>88</v>
      </c>
      <c r="B2850" s="28" t="s">
        <v>1067</v>
      </c>
      <c r="C2850" s="28" t="s">
        <v>51</v>
      </c>
      <c r="D2850" s="28" t="s">
        <v>19</v>
      </c>
      <c r="E2850" s="28" t="s">
        <v>89</v>
      </c>
      <c r="F2850" s="58" t="s">
        <v>0</v>
      </c>
      <c r="G2850" s="35">
        <f>G2851</f>
        <v>1233</v>
      </c>
      <c r="H2850" s="35">
        <f t="shared" si="1343"/>
        <v>1233</v>
      </c>
      <c r="I2850" s="35">
        <f t="shared" si="1343"/>
        <v>720</v>
      </c>
      <c r="J2850" s="35">
        <f t="shared" si="1343"/>
        <v>720</v>
      </c>
      <c r="K2850" s="35">
        <f t="shared" si="1343"/>
        <v>508.61250000000001</v>
      </c>
      <c r="L2850" s="35">
        <f t="shared" si="1320"/>
        <v>41.25</v>
      </c>
      <c r="M2850" s="35">
        <f t="shared" si="1321"/>
        <v>70.640625</v>
      </c>
    </row>
    <row r="2851" spans="1:13" ht="25.5">
      <c r="A2851" s="59" t="s">
        <v>1074</v>
      </c>
      <c r="B2851" s="28" t="s">
        <v>1067</v>
      </c>
      <c r="C2851" s="28" t="s">
        <v>51</v>
      </c>
      <c r="D2851" s="28" t="s">
        <v>19</v>
      </c>
      <c r="E2851" s="28" t="s">
        <v>1076</v>
      </c>
      <c r="F2851" s="58" t="s">
        <v>0</v>
      </c>
      <c r="G2851" s="35">
        <f>G2852</f>
        <v>1233</v>
      </c>
      <c r="H2851" s="35">
        <f t="shared" si="1343"/>
        <v>1233</v>
      </c>
      <c r="I2851" s="35">
        <f t="shared" si="1343"/>
        <v>720</v>
      </c>
      <c r="J2851" s="35">
        <f t="shared" si="1343"/>
        <v>720</v>
      </c>
      <c r="K2851" s="35">
        <f t="shared" si="1343"/>
        <v>508.61250000000001</v>
      </c>
      <c r="L2851" s="35">
        <f t="shared" ref="L2851:L2914" si="1344">K2851/H2851*100</f>
        <v>41.25</v>
      </c>
      <c r="M2851" s="35">
        <f t="shared" ref="M2851:M2914" si="1345">K2851/I2851*100</f>
        <v>70.640625</v>
      </c>
    </row>
    <row r="2852" spans="1:13" ht="25.5">
      <c r="A2852" s="59" t="s">
        <v>64</v>
      </c>
      <c r="B2852" s="28" t="s">
        <v>1067</v>
      </c>
      <c r="C2852" s="28" t="s">
        <v>51</v>
      </c>
      <c r="D2852" s="28" t="s">
        <v>19</v>
      </c>
      <c r="E2852" s="28" t="s">
        <v>1076</v>
      </c>
      <c r="F2852" s="28" t="s">
        <v>65</v>
      </c>
      <c r="G2852" s="35">
        <f>G2853</f>
        <v>1233</v>
      </c>
      <c r="H2852" s="35">
        <f t="shared" si="1343"/>
        <v>1233</v>
      </c>
      <c r="I2852" s="35">
        <f t="shared" si="1343"/>
        <v>720</v>
      </c>
      <c r="J2852" s="35">
        <f t="shared" si="1343"/>
        <v>720</v>
      </c>
      <c r="K2852" s="35">
        <f t="shared" si="1343"/>
        <v>508.61250000000001</v>
      </c>
      <c r="L2852" s="35">
        <f t="shared" si="1344"/>
        <v>41.25</v>
      </c>
      <c r="M2852" s="35">
        <f t="shared" si="1345"/>
        <v>70.640625</v>
      </c>
    </row>
    <row r="2853" spans="1:13" ht="25.5">
      <c r="A2853" s="59" t="s">
        <v>66</v>
      </c>
      <c r="B2853" s="28" t="s">
        <v>1067</v>
      </c>
      <c r="C2853" s="28" t="s">
        <v>51</v>
      </c>
      <c r="D2853" s="28" t="s">
        <v>19</v>
      </c>
      <c r="E2853" s="28" t="s">
        <v>1076</v>
      </c>
      <c r="F2853" s="28" t="s">
        <v>67</v>
      </c>
      <c r="G2853" s="35">
        <v>1233</v>
      </c>
      <c r="H2853" s="35">
        <v>1233</v>
      </c>
      <c r="I2853" s="35">
        <v>720</v>
      </c>
      <c r="J2853" s="35">
        <v>720</v>
      </c>
      <c r="K2853" s="35">
        <v>508.61250000000001</v>
      </c>
      <c r="L2853" s="35">
        <f t="shared" si="1344"/>
        <v>41.25</v>
      </c>
      <c r="M2853" s="35">
        <f t="shared" si="1345"/>
        <v>70.640625</v>
      </c>
    </row>
    <row r="2854" spans="1:13" ht="38.25">
      <c r="A2854" s="59" t="s">
        <v>734</v>
      </c>
      <c r="B2854" s="28" t="s">
        <v>1067</v>
      </c>
      <c r="C2854" s="28" t="s">
        <v>51</v>
      </c>
      <c r="D2854" s="28" t="s">
        <v>19</v>
      </c>
      <c r="E2854" s="28" t="s">
        <v>735</v>
      </c>
      <c r="F2854" s="58" t="s">
        <v>0</v>
      </c>
      <c r="G2854" s="35">
        <f>G2855</f>
        <v>46500.7</v>
      </c>
      <c r="H2854" s="35">
        <f t="shared" ref="H2854:K2854" si="1346">H2855</f>
        <v>44385.7</v>
      </c>
      <c r="I2854" s="35">
        <f t="shared" si="1346"/>
        <v>28356</v>
      </c>
      <c r="J2854" s="35">
        <f t="shared" si="1346"/>
        <v>28356</v>
      </c>
      <c r="K2854" s="35">
        <f t="shared" si="1346"/>
        <v>24327.12413</v>
      </c>
      <c r="L2854" s="35">
        <f t="shared" si="1344"/>
        <v>54.808472390882656</v>
      </c>
      <c r="M2854" s="35">
        <f t="shared" si="1345"/>
        <v>85.791804662152629</v>
      </c>
    </row>
    <row r="2855" spans="1:13" ht="51">
      <c r="A2855" s="59" t="s">
        <v>1070</v>
      </c>
      <c r="B2855" s="28" t="s">
        <v>1067</v>
      </c>
      <c r="C2855" s="28" t="s">
        <v>51</v>
      </c>
      <c r="D2855" s="28" t="s">
        <v>19</v>
      </c>
      <c r="E2855" s="28" t="s">
        <v>1071</v>
      </c>
      <c r="F2855" s="58" t="s">
        <v>0</v>
      </c>
      <c r="G2855" s="35">
        <f>G2856+G2863</f>
        <v>46500.7</v>
      </c>
      <c r="H2855" s="35">
        <f t="shared" ref="H2855:K2855" si="1347">H2856+H2863</f>
        <v>44385.7</v>
      </c>
      <c r="I2855" s="35">
        <f t="shared" si="1347"/>
        <v>28356</v>
      </c>
      <c r="J2855" s="35">
        <f t="shared" si="1347"/>
        <v>28356</v>
      </c>
      <c r="K2855" s="35">
        <f t="shared" si="1347"/>
        <v>24327.12413</v>
      </c>
      <c r="L2855" s="35">
        <f t="shared" si="1344"/>
        <v>54.808472390882656</v>
      </c>
      <c r="M2855" s="35">
        <f t="shared" si="1345"/>
        <v>85.791804662152629</v>
      </c>
    </row>
    <row r="2856" spans="1:13" ht="25.5">
      <c r="A2856" s="59" t="s">
        <v>58</v>
      </c>
      <c r="B2856" s="28" t="s">
        <v>1067</v>
      </c>
      <c r="C2856" s="28" t="s">
        <v>51</v>
      </c>
      <c r="D2856" s="28" t="s">
        <v>19</v>
      </c>
      <c r="E2856" s="28" t="s">
        <v>1077</v>
      </c>
      <c r="F2856" s="58" t="s">
        <v>0</v>
      </c>
      <c r="G2856" s="35">
        <f>G2857+G2859+G2861</f>
        <v>21141.7</v>
      </c>
      <c r="H2856" s="35">
        <f t="shared" ref="H2856:K2856" si="1348">H2857+H2859+H2861</f>
        <v>21141.7</v>
      </c>
      <c r="I2856" s="35">
        <f t="shared" si="1348"/>
        <v>16151</v>
      </c>
      <c r="J2856" s="35">
        <f t="shared" si="1348"/>
        <v>16151</v>
      </c>
      <c r="K2856" s="35">
        <f t="shared" si="1348"/>
        <v>15594.05833</v>
      </c>
      <c r="L2856" s="35">
        <f t="shared" si="1344"/>
        <v>73.759718139979285</v>
      </c>
      <c r="M2856" s="35">
        <f t="shared" si="1345"/>
        <v>96.55165828741255</v>
      </c>
    </row>
    <row r="2857" spans="1:13" ht="63.75">
      <c r="A2857" s="59" t="s">
        <v>60</v>
      </c>
      <c r="B2857" s="28" t="s">
        <v>1067</v>
      </c>
      <c r="C2857" s="28" t="s">
        <v>51</v>
      </c>
      <c r="D2857" s="28" t="s">
        <v>19</v>
      </c>
      <c r="E2857" s="28" t="s">
        <v>1077</v>
      </c>
      <c r="F2857" s="28" t="s">
        <v>61</v>
      </c>
      <c r="G2857" s="35">
        <f>G2858</f>
        <v>20194.5</v>
      </c>
      <c r="H2857" s="35">
        <f t="shared" ref="H2857:K2857" si="1349">H2858</f>
        <v>20194.5</v>
      </c>
      <c r="I2857" s="35">
        <f t="shared" si="1349"/>
        <v>15470</v>
      </c>
      <c r="J2857" s="35">
        <f t="shared" si="1349"/>
        <v>15470</v>
      </c>
      <c r="K2857" s="35">
        <f t="shared" si="1349"/>
        <v>15062.435750000001</v>
      </c>
      <c r="L2857" s="35">
        <f t="shared" si="1344"/>
        <v>74.586821906954867</v>
      </c>
      <c r="M2857" s="35">
        <f t="shared" si="1345"/>
        <v>97.365454104718822</v>
      </c>
    </row>
    <row r="2858" spans="1:13" ht="25.5">
      <c r="A2858" s="59" t="s">
        <v>62</v>
      </c>
      <c r="B2858" s="28" t="s">
        <v>1067</v>
      </c>
      <c r="C2858" s="28" t="s">
        <v>51</v>
      </c>
      <c r="D2858" s="28" t="s">
        <v>19</v>
      </c>
      <c r="E2858" s="28" t="s">
        <v>1077</v>
      </c>
      <c r="F2858" s="28" t="s">
        <v>63</v>
      </c>
      <c r="G2858" s="35">
        <v>20194.5</v>
      </c>
      <c r="H2858" s="35">
        <f>14891.5+1013+4290</f>
        <v>20194.5</v>
      </c>
      <c r="I2858" s="35">
        <f>11300+760+3410</f>
        <v>15470</v>
      </c>
      <c r="J2858" s="35">
        <f>11300+760+3410</f>
        <v>15470</v>
      </c>
      <c r="K2858" s="35">
        <f>11185.98103+553.2851+3323.16962</f>
        <v>15062.435750000001</v>
      </c>
      <c r="L2858" s="35">
        <f t="shared" si="1344"/>
        <v>74.586821906954867</v>
      </c>
      <c r="M2858" s="35">
        <f t="shared" si="1345"/>
        <v>97.365454104718822</v>
      </c>
    </row>
    <row r="2859" spans="1:13" ht="25.5">
      <c r="A2859" s="59" t="s">
        <v>64</v>
      </c>
      <c r="B2859" s="28" t="s">
        <v>1067</v>
      </c>
      <c r="C2859" s="28" t="s">
        <v>51</v>
      </c>
      <c r="D2859" s="28" t="s">
        <v>19</v>
      </c>
      <c r="E2859" s="28" t="s">
        <v>1077</v>
      </c>
      <c r="F2859" s="28" t="s">
        <v>65</v>
      </c>
      <c r="G2859" s="35">
        <f>G2860</f>
        <v>945.2</v>
      </c>
      <c r="H2859" s="35">
        <f t="shared" ref="H2859:K2859" si="1350">H2860</f>
        <v>945.2</v>
      </c>
      <c r="I2859" s="35">
        <f t="shared" si="1350"/>
        <v>680</v>
      </c>
      <c r="J2859" s="35">
        <f t="shared" si="1350"/>
        <v>680</v>
      </c>
      <c r="K2859" s="35">
        <f t="shared" si="1350"/>
        <v>531.62257999999997</v>
      </c>
      <c r="L2859" s="35">
        <f t="shared" si="1344"/>
        <v>56.244454083791787</v>
      </c>
      <c r="M2859" s="35">
        <f t="shared" si="1345"/>
        <v>78.179791176470587</v>
      </c>
    </row>
    <row r="2860" spans="1:13" ht="25.5">
      <c r="A2860" s="59" t="s">
        <v>66</v>
      </c>
      <c r="B2860" s="28" t="s">
        <v>1067</v>
      </c>
      <c r="C2860" s="28" t="s">
        <v>51</v>
      </c>
      <c r="D2860" s="28" t="s">
        <v>19</v>
      </c>
      <c r="E2860" s="28" t="s">
        <v>1077</v>
      </c>
      <c r="F2860" s="28" t="s">
        <v>67</v>
      </c>
      <c r="G2860" s="35">
        <v>945.2</v>
      </c>
      <c r="H2860" s="35">
        <v>945.2</v>
      </c>
      <c r="I2860" s="35">
        <v>680</v>
      </c>
      <c r="J2860" s="35">
        <v>680</v>
      </c>
      <c r="K2860" s="35">
        <v>531.62257999999997</v>
      </c>
      <c r="L2860" s="35">
        <f t="shared" si="1344"/>
        <v>56.244454083791787</v>
      </c>
      <c r="M2860" s="35">
        <f t="shared" si="1345"/>
        <v>78.179791176470587</v>
      </c>
    </row>
    <row r="2861" spans="1:13">
      <c r="A2861" s="59" t="s">
        <v>72</v>
      </c>
      <c r="B2861" s="28" t="s">
        <v>1067</v>
      </c>
      <c r="C2861" s="28" t="s">
        <v>51</v>
      </c>
      <c r="D2861" s="28" t="s">
        <v>19</v>
      </c>
      <c r="E2861" s="28" t="s">
        <v>1077</v>
      </c>
      <c r="F2861" s="28" t="s">
        <v>73</v>
      </c>
      <c r="G2861" s="35">
        <f>G2862</f>
        <v>2</v>
      </c>
      <c r="H2861" s="35">
        <f t="shared" ref="H2861:K2861" si="1351">H2862</f>
        <v>2</v>
      </c>
      <c r="I2861" s="35">
        <f t="shared" si="1351"/>
        <v>1</v>
      </c>
      <c r="J2861" s="35">
        <f t="shared" si="1351"/>
        <v>1</v>
      </c>
      <c r="K2861" s="35">
        <f t="shared" si="1351"/>
        <v>0</v>
      </c>
      <c r="L2861" s="35">
        <f t="shared" si="1344"/>
        <v>0</v>
      </c>
      <c r="M2861" s="35">
        <f t="shared" si="1345"/>
        <v>0</v>
      </c>
    </row>
    <row r="2862" spans="1:13">
      <c r="A2862" s="59" t="s">
        <v>74</v>
      </c>
      <c r="B2862" s="28" t="s">
        <v>1067</v>
      </c>
      <c r="C2862" s="28" t="s">
        <v>51</v>
      </c>
      <c r="D2862" s="28" t="s">
        <v>19</v>
      </c>
      <c r="E2862" s="28" t="s">
        <v>1077</v>
      </c>
      <c r="F2862" s="28" t="s">
        <v>75</v>
      </c>
      <c r="G2862" s="35">
        <v>2</v>
      </c>
      <c r="H2862" s="35">
        <v>2</v>
      </c>
      <c r="I2862" s="35">
        <v>1</v>
      </c>
      <c r="J2862" s="35">
        <v>1</v>
      </c>
      <c r="K2862" s="35">
        <v>0</v>
      </c>
      <c r="L2862" s="35">
        <f t="shared" si="1344"/>
        <v>0</v>
      </c>
      <c r="M2862" s="35">
        <f t="shared" si="1345"/>
        <v>0</v>
      </c>
    </row>
    <row r="2863" spans="1:13" ht="25.5">
      <c r="A2863" s="59" t="s">
        <v>1074</v>
      </c>
      <c r="B2863" s="28" t="s">
        <v>1067</v>
      </c>
      <c r="C2863" s="28" t="s">
        <v>51</v>
      </c>
      <c r="D2863" s="28" t="s">
        <v>19</v>
      </c>
      <c r="E2863" s="28" t="s">
        <v>1078</v>
      </c>
      <c r="F2863" s="58" t="s">
        <v>0</v>
      </c>
      <c r="G2863" s="35">
        <f>G2864</f>
        <v>25359</v>
      </c>
      <c r="H2863" s="35">
        <f t="shared" ref="H2863:K2864" si="1352">H2864</f>
        <v>23244</v>
      </c>
      <c r="I2863" s="35">
        <f t="shared" si="1352"/>
        <v>12205</v>
      </c>
      <c r="J2863" s="35">
        <f t="shared" si="1352"/>
        <v>12205</v>
      </c>
      <c r="K2863" s="35">
        <f t="shared" si="1352"/>
        <v>8733.0658000000003</v>
      </c>
      <c r="L2863" s="35">
        <f t="shared" si="1344"/>
        <v>37.57126914472552</v>
      </c>
      <c r="M2863" s="35">
        <f t="shared" si="1345"/>
        <v>71.553181482998767</v>
      </c>
    </row>
    <row r="2864" spans="1:13" ht="25.5">
      <c r="A2864" s="59" t="s">
        <v>64</v>
      </c>
      <c r="B2864" s="28" t="s">
        <v>1067</v>
      </c>
      <c r="C2864" s="28" t="s">
        <v>51</v>
      </c>
      <c r="D2864" s="28" t="s">
        <v>19</v>
      </c>
      <c r="E2864" s="28" t="s">
        <v>1078</v>
      </c>
      <c r="F2864" s="28" t="s">
        <v>65</v>
      </c>
      <c r="G2864" s="35">
        <f>G2865</f>
        <v>25359</v>
      </c>
      <c r="H2864" s="35">
        <f t="shared" si="1352"/>
        <v>23244</v>
      </c>
      <c r="I2864" s="35">
        <f t="shared" si="1352"/>
        <v>12205</v>
      </c>
      <c r="J2864" s="35">
        <f t="shared" si="1352"/>
        <v>12205</v>
      </c>
      <c r="K2864" s="35">
        <f t="shared" si="1352"/>
        <v>8733.0658000000003</v>
      </c>
      <c r="L2864" s="35">
        <f t="shared" si="1344"/>
        <v>37.57126914472552</v>
      </c>
      <c r="M2864" s="35">
        <f t="shared" si="1345"/>
        <v>71.553181482998767</v>
      </c>
    </row>
    <row r="2865" spans="1:13" ht="25.5">
      <c r="A2865" s="59" t="s">
        <v>66</v>
      </c>
      <c r="B2865" s="28" t="s">
        <v>1067</v>
      </c>
      <c r="C2865" s="28" t="s">
        <v>51</v>
      </c>
      <c r="D2865" s="28" t="s">
        <v>19</v>
      </c>
      <c r="E2865" s="28" t="s">
        <v>1078</v>
      </c>
      <c r="F2865" s="28" t="s">
        <v>67</v>
      </c>
      <c r="G2865" s="35">
        <v>25359</v>
      </c>
      <c r="H2865" s="35">
        <v>23244</v>
      </c>
      <c r="I2865" s="35">
        <v>12205</v>
      </c>
      <c r="J2865" s="35">
        <v>12205</v>
      </c>
      <c r="K2865" s="35">
        <v>8733.0658000000003</v>
      </c>
      <c r="L2865" s="35">
        <f t="shared" si="1344"/>
        <v>37.57126914472552</v>
      </c>
      <c r="M2865" s="35">
        <f t="shared" si="1345"/>
        <v>71.553181482998767</v>
      </c>
    </row>
    <row r="2866" spans="1:13">
      <c r="A2866" s="64" t="s">
        <v>0</v>
      </c>
      <c r="B2866" s="65" t="s">
        <v>0</v>
      </c>
      <c r="C2866" s="58" t="s">
        <v>0</v>
      </c>
      <c r="D2866" s="58" t="s">
        <v>0</v>
      </c>
      <c r="E2866" s="58" t="s">
        <v>0</v>
      </c>
      <c r="F2866" s="58" t="s">
        <v>0</v>
      </c>
      <c r="G2866" s="66" t="s">
        <v>0</v>
      </c>
      <c r="H2866" s="66" t="s">
        <v>0</v>
      </c>
      <c r="I2866" s="66" t="s">
        <v>0</v>
      </c>
      <c r="J2866" s="66" t="s">
        <v>0</v>
      </c>
      <c r="K2866" s="66" t="s">
        <v>0</v>
      </c>
      <c r="L2866" s="35"/>
      <c r="M2866" s="35"/>
    </row>
    <row r="2867" spans="1:13" ht="38.25">
      <c r="A2867" s="56" t="s">
        <v>1079</v>
      </c>
      <c r="B2867" s="57" t="s">
        <v>1080</v>
      </c>
      <c r="C2867" s="58" t="s">
        <v>0</v>
      </c>
      <c r="D2867" s="58" t="s">
        <v>0</v>
      </c>
      <c r="E2867" s="58" t="s">
        <v>0</v>
      </c>
      <c r="F2867" s="58" t="s">
        <v>0</v>
      </c>
      <c r="G2867" s="30">
        <f>G2868</f>
        <v>287812.7</v>
      </c>
      <c r="H2867" s="30">
        <f t="shared" ref="H2867:K2870" si="1353">H2868</f>
        <v>287680.11525000003</v>
      </c>
      <c r="I2867" s="30">
        <f t="shared" si="1353"/>
        <v>209596.43925</v>
      </c>
      <c r="J2867" s="30">
        <f t="shared" si="1353"/>
        <v>209596.43925</v>
      </c>
      <c r="K2867" s="30">
        <f t="shared" si="1353"/>
        <v>204086.57178</v>
      </c>
      <c r="L2867" s="30">
        <f t="shared" si="1344"/>
        <v>70.942189244690937</v>
      </c>
      <c r="M2867" s="30">
        <f t="shared" si="1345"/>
        <v>97.371201777226759</v>
      </c>
    </row>
    <row r="2868" spans="1:13">
      <c r="A2868" s="59" t="s">
        <v>16</v>
      </c>
      <c r="B2868" s="28" t="s">
        <v>1080</v>
      </c>
      <c r="C2868" s="28" t="s">
        <v>17</v>
      </c>
      <c r="D2868" s="58" t="s">
        <v>0</v>
      </c>
      <c r="E2868" s="58" t="s">
        <v>0</v>
      </c>
      <c r="F2868" s="58" t="s">
        <v>0</v>
      </c>
      <c r="G2868" s="35">
        <f>G2869</f>
        <v>287812.7</v>
      </c>
      <c r="H2868" s="35">
        <f t="shared" si="1353"/>
        <v>287680.11525000003</v>
      </c>
      <c r="I2868" s="35">
        <f t="shared" si="1353"/>
        <v>209596.43925</v>
      </c>
      <c r="J2868" s="35">
        <f t="shared" si="1353"/>
        <v>209596.43925</v>
      </c>
      <c r="K2868" s="35">
        <f t="shared" si="1353"/>
        <v>204086.57178</v>
      </c>
      <c r="L2868" s="35">
        <f t="shared" si="1344"/>
        <v>70.942189244690937</v>
      </c>
      <c r="M2868" s="35">
        <f t="shared" si="1345"/>
        <v>97.371201777226759</v>
      </c>
    </row>
    <row r="2869" spans="1:13">
      <c r="A2869" s="59" t="s">
        <v>604</v>
      </c>
      <c r="B2869" s="28" t="s">
        <v>1080</v>
      </c>
      <c r="C2869" s="28" t="s">
        <v>17</v>
      </c>
      <c r="D2869" s="28" t="s">
        <v>93</v>
      </c>
      <c r="E2869" s="58" t="s">
        <v>0</v>
      </c>
      <c r="F2869" s="58" t="s">
        <v>0</v>
      </c>
      <c r="G2869" s="35">
        <f>G2870</f>
        <v>287812.7</v>
      </c>
      <c r="H2869" s="35">
        <f t="shared" si="1353"/>
        <v>287680.11525000003</v>
      </c>
      <c r="I2869" s="35">
        <f t="shared" si="1353"/>
        <v>209596.43925</v>
      </c>
      <c r="J2869" s="35">
        <f t="shared" si="1353"/>
        <v>209596.43925</v>
      </c>
      <c r="K2869" s="35">
        <f t="shared" si="1353"/>
        <v>204086.57178</v>
      </c>
      <c r="L2869" s="35">
        <f t="shared" si="1344"/>
        <v>70.942189244690937</v>
      </c>
      <c r="M2869" s="35">
        <f t="shared" si="1345"/>
        <v>97.371201777226759</v>
      </c>
    </row>
    <row r="2870" spans="1:13" ht="38.25">
      <c r="A2870" s="59" t="s">
        <v>734</v>
      </c>
      <c r="B2870" s="28" t="s">
        <v>1080</v>
      </c>
      <c r="C2870" s="28" t="s">
        <v>17</v>
      </c>
      <c r="D2870" s="28" t="s">
        <v>93</v>
      </c>
      <c r="E2870" s="28" t="s">
        <v>735</v>
      </c>
      <c r="F2870" s="58" t="s">
        <v>0</v>
      </c>
      <c r="G2870" s="35">
        <f>G2871</f>
        <v>287812.7</v>
      </c>
      <c r="H2870" s="35">
        <f t="shared" si="1353"/>
        <v>287680.11525000003</v>
      </c>
      <c r="I2870" s="35">
        <f t="shared" si="1353"/>
        <v>209596.43925</v>
      </c>
      <c r="J2870" s="35">
        <f t="shared" si="1353"/>
        <v>209596.43925</v>
      </c>
      <c r="K2870" s="35">
        <f t="shared" si="1353"/>
        <v>204086.57178</v>
      </c>
      <c r="L2870" s="35">
        <f t="shared" si="1344"/>
        <v>70.942189244690937</v>
      </c>
      <c r="M2870" s="35">
        <f t="shared" si="1345"/>
        <v>97.371201777226759</v>
      </c>
    </row>
    <row r="2871" spans="1:13" ht="38.25">
      <c r="A2871" s="59" t="s">
        <v>736</v>
      </c>
      <c r="B2871" s="28" t="s">
        <v>1080</v>
      </c>
      <c r="C2871" s="28" t="s">
        <v>17</v>
      </c>
      <c r="D2871" s="28" t="s">
        <v>93</v>
      </c>
      <c r="E2871" s="28" t="s">
        <v>737</v>
      </c>
      <c r="F2871" s="58" t="s">
        <v>0</v>
      </c>
      <c r="G2871" s="35">
        <f>G2872+G2879</f>
        <v>287812.7</v>
      </c>
      <c r="H2871" s="35">
        <f t="shared" ref="H2871:K2871" si="1354">H2872+H2879</f>
        <v>287680.11525000003</v>
      </c>
      <c r="I2871" s="35">
        <f t="shared" si="1354"/>
        <v>209596.43925</v>
      </c>
      <c r="J2871" s="35">
        <f t="shared" si="1354"/>
        <v>209596.43925</v>
      </c>
      <c r="K2871" s="35">
        <f t="shared" si="1354"/>
        <v>204086.57178</v>
      </c>
      <c r="L2871" s="35">
        <f t="shared" si="1344"/>
        <v>70.942189244690937</v>
      </c>
      <c r="M2871" s="35">
        <f t="shared" si="1345"/>
        <v>97.371201777226759</v>
      </c>
    </row>
    <row r="2872" spans="1:13" ht="25.5">
      <c r="A2872" s="59" t="s">
        <v>58</v>
      </c>
      <c r="B2872" s="28" t="s">
        <v>1080</v>
      </c>
      <c r="C2872" s="28" t="s">
        <v>17</v>
      </c>
      <c r="D2872" s="28" t="s">
        <v>93</v>
      </c>
      <c r="E2872" s="28" t="s">
        <v>738</v>
      </c>
      <c r="F2872" s="58" t="s">
        <v>0</v>
      </c>
      <c r="G2872" s="35">
        <f>G2873+G2875+G2877</f>
        <v>169056.90000000002</v>
      </c>
      <c r="H2872" s="35">
        <f t="shared" ref="H2872:K2872" si="1355">H2873+H2875+H2877</f>
        <v>169056.90000000002</v>
      </c>
      <c r="I2872" s="35">
        <f t="shared" si="1355"/>
        <v>126680</v>
      </c>
      <c r="J2872" s="35">
        <f t="shared" si="1355"/>
        <v>126680</v>
      </c>
      <c r="K2872" s="35">
        <f t="shared" si="1355"/>
        <v>123587.22649</v>
      </c>
      <c r="L2872" s="35">
        <f t="shared" si="1344"/>
        <v>73.103923288549595</v>
      </c>
      <c r="M2872" s="35">
        <f t="shared" si="1345"/>
        <v>97.558593692769179</v>
      </c>
    </row>
    <row r="2873" spans="1:13" ht="63.75">
      <c r="A2873" s="59" t="s">
        <v>60</v>
      </c>
      <c r="B2873" s="28" t="s">
        <v>1080</v>
      </c>
      <c r="C2873" s="28" t="s">
        <v>17</v>
      </c>
      <c r="D2873" s="28" t="s">
        <v>93</v>
      </c>
      <c r="E2873" s="28" t="s">
        <v>738</v>
      </c>
      <c r="F2873" s="28" t="s">
        <v>61</v>
      </c>
      <c r="G2873" s="35">
        <f>G2874</f>
        <v>147638.20000000001</v>
      </c>
      <c r="H2873" s="35">
        <f t="shared" ref="H2873:K2873" si="1356">H2874</f>
        <v>147638.20000000001</v>
      </c>
      <c r="I2873" s="35">
        <f t="shared" si="1356"/>
        <v>110500</v>
      </c>
      <c r="J2873" s="35">
        <f t="shared" si="1356"/>
        <v>110500</v>
      </c>
      <c r="K2873" s="35">
        <f t="shared" si="1356"/>
        <v>110019.56101</v>
      </c>
      <c r="L2873" s="35">
        <f t="shared" si="1344"/>
        <v>74.51971170740363</v>
      </c>
      <c r="M2873" s="35">
        <f t="shared" si="1345"/>
        <v>99.565213583710417</v>
      </c>
    </row>
    <row r="2874" spans="1:13" ht="25.5">
      <c r="A2874" s="59" t="s">
        <v>62</v>
      </c>
      <c r="B2874" s="28" t="s">
        <v>1080</v>
      </c>
      <c r="C2874" s="28" t="s">
        <v>17</v>
      </c>
      <c r="D2874" s="28" t="s">
        <v>93</v>
      </c>
      <c r="E2874" s="28" t="s">
        <v>738</v>
      </c>
      <c r="F2874" s="28" t="s">
        <v>63</v>
      </c>
      <c r="G2874" s="35">
        <v>147638.20000000001</v>
      </c>
      <c r="H2874" s="35">
        <f>110397.7+4100+33140.5</f>
        <v>147638.20000000001</v>
      </c>
      <c r="I2874" s="35">
        <f>82600+3100+24800</f>
        <v>110500</v>
      </c>
      <c r="J2874" s="35">
        <f>82600+3100+24800</f>
        <v>110500</v>
      </c>
      <c r="K2874" s="35">
        <f>82596.07365+2713.35624+24710.13112</f>
        <v>110019.56101</v>
      </c>
      <c r="L2874" s="35">
        <f t="shared" si="1344"/>
        <v>74.51971170740363</v>
      </c>
      <c r="M2874" s="35">
        <f t="shared" si="1345"/>
        <v>99.565213583710417</v>
      </c>
    </row>
    <row r="2875" spans="1:13" ht="25.5">
      <c r="A2875" s="59" t="s">
        <v>64</v>
      </c>
      <c r="B2875" s="28" t="s">
        <v>1080</v>
      </c>
      <c r="C2875" s="28" t="s">
        <v>17</v>
      </c>
      <c r="D2875" s="28" t="s">
        <v>93</v>
      </c>
      <c r="E2875" s="28" t="s">
        <v>738</v>
      </c>
      <c r="F2875" s="28" t="s">
        <v>65</v>
      </c>
      <c r="G2875" s="35">
        <f>G2876</f>
        <v>20001.599999999999</v>
      </c>
      <c r="H2875" s="35">
        <f t="shared" ref="H2875:K2875" si="1357">H2876</f>
        <v>20001.599999999999</v>
      </c>
      <c r="I2875" s="35">
        <f t="shared" si="1357"/>
        <v>15080</v>
      </c>
      <c r="J2875" s="35">
        <f t="shared" si="1357"/>
        <v>15080</v>
      </c>
      <c r="K2875" s="35">
        <f t="shared" si="1357"/>
        <v>12770.39955</v>
      </c>
      <c r="L2875" s="35">
        <f t="shared" si="1344"/>
        <v>63.846889998800108</v>
      </c>
      <c r="M2875" s="35">
        <f t="shared" si="1345"/>
        <v>84.684347148541121</v>
      </c>
    </row>
    <row r="2876" spans="1:13" ht="25.5">
      <c r="A2876" s="59" t="s">
        <v>66</v>
      </c>
      <c r="B2876" s="28" t="s">
        <v>1080</v>
      </c>
      <c r="C2876" s="28" t="s">
        <v>17</v>
      </c>
      <c r="D2876" s="28" t="s">
        <v>93</v>
      </c>
      <c r="E2876" s="28" t="s">
        <v>738</v>
      </c>
      <c r="F2876" s="28" t="s">
        <v>67</v>
      </c>
      <c r="G2876" s="35">
        <v>20001.599999999999</v>
      </c>
      <c r="H2876" s="35">
        <v>20001.599999999999</v>
      </c>
      <c r="I2876" s="35">
        <v>15080</v>
      </c>
      <c r="J2876" s="35">
        <v>15080</v>
      </c>
      <c r="K2876" s="35">
        <v>12770.39955</v>
      </c>
      <c r="L2876" s="35">
        <f t="shared" si="1344"/>
        <v>63.846889998800108</v>
      </c>
      <c r="M2876" s="35">
        <f t="shared" si="1345"/>
        <v>84.684347148541121</v>
      </c>
    </row>
    <row r="2877" spans="1:13">
      <c r="A2877" s="59" t="s">
        <v>72</v>
      </c>
      <c r="B2877" s="28" t="s">
        <v>1080</v>
      </c>
      <c r="C2877" s="28" t="s">
        <v>17</v>
      </c>
      <c r="D2877" s="28" t="s">
        <v>93</v>
      </c>
      <c r="E2877" s="28" t="s">
        <v>738</v>
      </c>
      <c r="F2877" s="28" t="s">
        <v>73</v>
      </c>
      <c r="G2877" s="35">
        <f>G2878</f>
        <v>1417.1</v>
      </c>
      <c r="H2877" s="35">
        <f t="shared" ref="H2877:K2877" si="1358">H2878</f>
        <v>1417.1</v>
      </c>
      <c r="I2877" s="35">
        <f t="shared" si="1358"/>
        <v>1100</v>
      </c>
      <c r="J2877" s="35">
        <f t="shared" si="1358"/>
        <v>1100</v>
      </c>
      <c r="K2877" s="35">
        <f t="shared" si="1358"/>
        <v>797.26593000000003</v>
      </c>
      <c r="L2877" s="35">
        <f t="shared" si="1344"/>
        <v>56.260385999576599</v>
      </c>
      <c r="M2877" s="35">
        <f t="shared" si="1345"/>
        <v>72.47872090909091</v>
      </c>
    </row>
    <row r="2878" spans="1:13">
      <c r="A2878" s="59" t="s">
        <v>74</v>
      </c>
      <c r="B2878" s="28" t="s">
        <v>1080</v>
      </c>
      <c r="C2878" s="28" t="s">
        <v>17</v>
      </c>
      <c r="D2878" s="28" t="s">
        <v>93</v>
      </c>
      <c r="E2878" s="28" t="s">
        <v>738</v>
      </c>
      <c r="F2878" s="28" t="s">
        <v>75</v>
      </c>
      <c r="G2878" s="35">
        <v>1417.1</v>
      </c>
      <c r="H2878" s="35">
        <v>1417.1</v>
      </c>
      <c r="I2878" s="35">
        <v>1100</v>
      </c>
      <c r="J2878" s="35">
        <v>1100</v>
      </c>
      <c r="K2878" s="35">
        <v>797.26593000000003</v>
      </c>
      <c r="L2878" s="35">
        <f t="shared" si="1344"/>
        <v>56.260385999576599</v>
      </c>
      <c r="M2878" s="35">
        <f t="shared" si="1345"/>
        <v>72.47872090909091</v>
      </c>
    </row>
    <row r="2879" spans="1:13">
      <c r="A2879" s="59" t="s">
        <v>1081</v>
      </c>
      <c r="B2879" s="28" t="s">
        <v>1080</v>
      </c>
      <c r="C2879" s="28" t="s">
        <v>17</v>
      </c>
      <c r="D2879" s="28" t="s">
        <v>93</v>
      </c>
      <c r="E2879" s="28" t="s">
        <v>1082</v>
      </c>
      <c r="F2879" s="58" t="s">
        <v>0</v>
      </c>
      <c r="G2879" s="35">
        <f>G2880</f>
        <v>118755.8</v>
      </c>
      <c r="H2879" s="35">
        <f t="shared" ref="H2879:K2880" si="1359">H2880</f>
        <v>118623.21524999999</v>
      </c>
      <c r="I2879" s="35">
        <f t="shared" si="1359"/>
        <v>82916.439249999996</v>
      </c>
      <c r="J2879" s="35">
        <f t="shared" si="1359"/>
        <v>82916.439249999996</v>
      </c>
      <c r="K2879" s="35">
        <f t="shared" si="1359"/>
        <v>80499.345289999997</v>
      </c>
      <c r="L2879" s="35">
        <f t="shared" si="1344"/>
        <v>67.861375296856153</v>
      </c>
      <c r="M2879" s="35">
        <f t="shared" si="1345"/>
        <v>97.084903811761308</v>
      </c>
    </row>
    <row r="2880" spans="1:13" ht="25.5">
      <c r="A2880" s="59" t="s">
        <v>64</v>
      </c>
      <c r="B2880" s="28" t="s">
        <v>1080</v>
      </c>
      <c r="C2880" s="28" t="s">
        <v>17</v>
      </c>
      <c r="D2880" s="28" t="s">
        <v>93</v>
      </c>
      <c r="E2880" s="28" t="s">
        <v>1082</v>
      </c>
      <c r="F2880" s="28" t="s">
        <v>65</v>
      </c>
      <c r="G2880" s="35">
        <f>G2881</f>
        <v>118755.8</v>
      </c>
      <c r="H2880" s="35">
        <f t="shared" si="1359"/>
        <v>118623.21524999999</v>
      </c>
      <c r="I2880" s="35">
        <f t="shared" si="1359"/>
        <v>82916.439249999996</v>
      </c>
      <c r="J2880" s="35">
        <f t="shared" si="1359"/>
        <v>82916.439249999996</v>
      </c>
      <c r="K2880" s="35">
        <f t="shared" si="1359"/>
        <v>80499.345289999997</v>
      </c>
      <c r="L2880" s="35">
        <f t="shared" si="1344"/>
        <v>67.861375296856153</v>
      </c>
      <c r="M2880" s="35">
        <f t="shared" si="1345"/>
        <v>97.084903811761308</v>
      </c>
    </row>
    <row r="2881" spans="1:13" ht="25.5">
      <c r="A2881" s="59" t="s">
        <v>66</v>
      </c>
      <c r="B2881" s="28" t="s">
        <v>1080</v>
      </c>
      <c r="C2881" s="28" t="s">
        <v>17</v>
      </c>
      <c r="D2881" s="28" t="s">
        <v>93</v>
      </c>
      <c r="E2881" s="28" t="s">
        <v>1082</v>
      </c>
      <c r="F2881" s="28" t="s">
        <v>67</v>
      </c>
      <c r="G2881" s="35">
        <v>118755.8</v>
      </c>
      <c r="H2881" s="35">
        <v>118623.21524999999</v>
      </c>
      <c r="I2881" s="35">
        <v>82916.439249999996</v>
      </c>
      <c r="J2881" s="35">
        <v>82916.439249999996</v>
      </c>
      <c r="K2881" s="35">
        <v>80499.345289999997</v>
      </c>
      <c r="L2881" s="35">
        <f t="shared" si="1344"/>
        <v>67.861375296856153</v>
      </c>
      <c r="M2881" s="35">
        <f t="shared" si="1345"/>
        <v>97.084903811761308</v>
      </c>
    </row>
    <row r="2882" spans="1:13">
      <c r="A2882" s="64" t="s">
        <v>0</v>
      </c>
      <c r="B2882" s="65" t="s">
        <v>0</v>
      </c>
      <c r="C2882" s="58" t="s">
        <v>0</v>
      </c>
      <c r="D2882" s="58" t="s">
        <v>0</v>
      </c>
      <c r="E2882" s="58" t="s">
        <v>0</v>
      </c>
      <c r="F2882" s="58" t="s">
        <v>0</v>
      </c>
      <c r="G2882" s="66" t="s">
        <v>0</v>
      </c>
      <c r="H2882" s="66" t="s">
        <v>0</v>
      </c>
      <c r="I2882" s="66" t="s">
        <v>0</v>
      </c>
      <c r="J2882" s="66" t="s">
        <v>0</v>
      </c>
      <c r="K2882" s="66" t="s">
        <v>0</v>
      </c>
      <c r="L2882" s="35"/>
      <c r="M2882" s="35"/>
    </row>
    <row r="2883" spans="1:13" ht="25.5">
      <c r="A2883" s="56" t="s">
        <v>1083</v>
      </c>
      <c r="B2883" s="57" t="s">
        <v>1084</v>
      </c>
      <c r="C2883" s="58" t="s">
        <v>0</v>
      </c>
      <c r="D2883" s="58" t="s">
        <v>0</v>
      </c>
      <c r="E2883" s="58" t="s">
        <v>0</v>
      </c>
      <c r="F2883" s="58" t="s">
        <v>0</v>
      </c>
      <c r="G2883" s="30">
        <f>G2884</f>
        <v>27799.8</v>
      </c>
      <c r="H2883" s="30">
        <f t="shared" ref="H2883:K2887" si="1360">H2884</f>
        <v>27799.8</v>
      </c>
      <c r="I2883" s="30">
        <f t="shared" si="1360"/>
        <v>20882.5</v>
      </c>
      <c r="J2883" s="30">
        <f t="shared" si="1360"/>
        <v>20882.5</v>
      </c>
      <c r="K2883" s="30">
        <f t="shared" si="1360"/>
        <v>19386.276560000002</v>
      </c>
      <c r="L2883" s="30">
        <f t="shared" si="1344"/>
        <v>69.735309462658009</v>
      </c>
      <c r="M2883" s="30">
        <f t="shared" si="1345"/>
        <v>92.8350368011493</v>
      </c>
    </row>
    <row r="2884" spans="1:13">
      <c r="A2884" s="59" t="s">
        <v>16</v>
      </c>
      <c r="B2884" s="28" t="s">
        <v>1084</v>
      </c>
      <c r="C2884" s="28" t="s">
        <v>17</v>
      </c>
      <c r="D2884" s="58" t="s">
        <v>0</v>
      </c>
      <c r="E2884" s="58" t="s">
        <v>0</v>
      </c>
      <c r="F2884" s="58" t="s">
        <v>0</v>
      </c>
      <c r="G2884" s="35">
        <f>G2885</f>
        <v>27799.8</v>
      </c>
      <c r="H2884" s="35">
        <f t="shared" si="1360"/>
        <v>27799.8</v>
      </c>
      <c r="I2884" s="35">
        <f t="shared" si="1360"/>
        <v>20882.5</v>
      </c>
      <c r="J2884" s="35">
        <f t="shared" si="1360"/>
        <v>20882.5</v>
      </c>
      <c r="K2884" s="35">
        <f t="shared" si="1360"/>
        <v>19386.276560000002</v>
      </c>
      <c r="L2884" s="35">
        <f t="shared" si="1344"/>
        <v>69.735309462658009</v>
      </c>
      <c r="M2884" s="35">
        <f t="shared" si="1345"/>
        <v>92.8350368011493</v>
      </c>
    </row>
    <row r="2885" spans="1:13" ht="38.25">
      <c r="A2885" s="59" t="s">
        <v>607</v>
      </c>
      <c r="B2885" s="28" t="s">
        <v>1084</v>
      </c>
      <c r="C2885" s="28" t="s">
        <v>17</v>
      </c>
      <c r="D2885" s="28" t="s">
        <v>32</v>
      </c>
      <c r="E2885" s="58" t="s">
        <v>0</v>
      </c>
      <c r="F2885" s="58" t="s">
        <v>0</v>
      </c>
      <c r="G2885" s="35">
        <f>G2886</f>
        <v>27799.8</v>
      </c>
      <c r="H2885" s="35">
        <f t="shared" si="1360"/>
        <v>27799.8</v>
      </c>
      <c r="I2885" s="35">
        <f t="shared" si="1360"/>
        <v>20882.5</v>
      </c>
      <c r="J2885" s="35">
        <f t="shared" si="1360"/>
        <v>20882.5</v>
      </c>
      <c r="K2885" s="35">
        <f t="shared" si="1360"/>
        <v>19386.276560000002</v>
      </c>
      <c r="L2885" s="35">
        <f t="shared" si="1344"/>
        <v>69.735309462658009</v>
      </c>
      <c r="M2885" s="35">
        <f t="shared" si="1345"/>
        <v>92.8350368011493</v>
      </c>
    </row>
    <row r="2886" spans="1:13" ht="51">
      <c r="A2886" s="59" t="s">
        <v>596</v>
      </c>
      <c r="B2886" s="28" t="s">
        <v>1084</v>
      </c>
      <c r="C2886" s="28" t="s">
        <v>17</v>
      </c>
      <c r="D2886" s="28" t="s">
        <v>32</v>
      </c>
      <c r="E2886" s="28" t="s">
        <v>597</v>
      </c>
      <c r="F2886" s="58" t="s">
        <v>0</v>
      </c>
      <c r="G2886" s="35">
        <f>G2887</f>
        <v>27799.8</v>
      </c>
      <c r="H2886" s="35">
        <f t="shared" si="1360"/>
        <v>27799.8</v>
      </c>
      <c r="I2886" s="35">
        <f t="shared" si="1360"/>
        <v>20882.5</v>
      </c>
      <c r="J2886" s="35">
        <f t="shared" si="1360"/>
        <v>20882.5</v>
      </c>
      <c r="K2886" s="35">
        <f t="shared" si="1360"/>
        <v>19386.276560000002</v>
      </c>
      <c r="L2886" s="35">
        <f t="shared" si="1344"/>
        <v>69.735309462658009</v>
      </c>
      <c r="M2886" s="35">
        <f t="shared" si="1345"/>
        <v>92.8350368011493</v>
      </c>
    </row>
    <row r="2887" spans="1:13" ht="38.25">
      <c r="A2887" s="59" t="s">
        <v>1085</v>
      </c>
      <c r="B2887" s="28" t="s">
        <v>1084</v>
      </c>
      <c r="C2887" s="28" t="s">
        <v>17</v>
      </c>
      <c r="D2887" s="28" t="s">
        <v>32</v>
      </c>
      <c r="E2887" s="28" t="s">
        <v>1086</v>
      </c>
      <c r="F2887" s="58" t="s">
        <v>0</v>
      </c>
      <c r="G2887" s="35">
        <f>G2888</f>
        <v>27799.8</v>
      </c>
      <c r="H2887" s="35">
        <f t="shared" si="1360"/>
        <v>27799.8</v>
      </c>
      <c r="I2887" s="35">
        <f t="shared" si="1360"/>
        <v>20882.5</v>
      </c>
      <c r="J2887" s="35">
        <f t="shared" si="1360"/>
        <v>20882.5</v>
      </c>
      <c r="K2887" s="35">
        <f t="shared" si="1360"/>
        <v>19386.276560000002</v>
      </c>
      <c r="L2887" s="35">
        <f t="shared" si="1344"/>
        <v>69.735309462658009</v>
      </c>
      <c r="M2887" s="35">
        <f t="shared" si="1345"/>
        <v>92.8350368011493</v>
      </c>
    </row>
    <row r="2888" spans="1:13" ht="25.5">
      <c r="A2888" s="59" t="s">
        <v>58</v>
      </c>
      <c r="B2888" s="28" t="s">
        <v>1084</v>
      </c>
      <c r="C2888" s="28" t="s">
        <v>17</v>
      </c>
      <c r="D2888" s="28" t="s">
        <v>32</v>
      </c>
      <c r="E2888" s="28" t="s">
        <v>1087</v>
      </c>
      <c r="F2888" s="58" t="s">
        <v>0</v>
      </c>
      <c r="G2888" s="35">
        <f>G2889+G2891+G2893</f>
        <v>27799.8</v>
      </c>
      <c r="H2888" s="35">
        <f t="shared" ref="H2888:K2888" si="1361">H2889+H2891+H2893</f>
        <v>27799.8</v>
      </c>
      <c r="I2888" s="35">
        <f t="shared" si="1361"/>
        <v>20882.5</v>
      </c>
      <c r="J2888" s="35">
        <f t="shared" si="1361"/>
        <v>20882.5</v>
      </c>
      <c r="K2888" s="35">
        <f t="shared" si="1361"/>
        <v>19386.276560000002</v>
      </c>
      <c r="L2888" s="35">
        <f t="shared" si="1344"/>
        <v>69.735309462658009</v>
      </c>
      <c r="M2888" s="35">
        <f t="shared" si="1345"/>
        <v>92.8350368011493</v>
      </c>
    </row>
    <row r="2889" spans="1:13" ht="63.75">
      <c r="A2889" s="59" t="s">
        <v>60</v>
      </c>
      <c r="B2889" s="28" t="s">
        <v>1084</v>
      </c>
      <c r="C2889" s="28" t="s">
        <v>17</v>
      </c>
      <c r="D2889" s="28" t="s">
        <v>32</v>
      </c>
      <c r="E2889" s="28" t="s">
        <v>1087</v>
      </c>
      <c r="F2889" s="28" t="s">
        <v>61</v>
      </c>
      <c r="G2889" s="35">
        <f>G2890</f>
        <v>25985.5</v>
      </c>
      <c r="H2889" s="35">
        <f t="shared" ref="H2889:K2889" si="1362">H2890</f>
        <v>25942.652829999999</v>
      </c>
      <c r="I2889" s="35">
        <f t="shared" si="1362"/>
        <v>19465.152829999999</v>
      </c>
      <c r="J2889" s="35">
        <f t="shared" si="1362"/>
        <v>19465.152829999999</v>
      </c>
      <c r="K2889" s="35">
        <f t="shared" si="1362"/>
        <v>18391.702560000002</v>
      </c>
      <c r="L2889" s="35">
        <f t="shared" si="1344"/>
        <v>70.89368493083289</v>
      </c>
      <c r="M2889" s="35">
        <f t="shared" si="1345"/>
        <v>94.485271811760043</v>
      </c>
    </row>
    <row r="2890" spans="1:13" ht="25.5">
      <c r="A2890" s="59" t="s">
        <v>62</v>
      </c>
      <c r="B2890" s="28" t="s">
        <v>1084</v>
      </c>
      <c r="C2890" s="28" t="s">
        <v>17</v>
      </c>
      <c r="D2890" s="28" t="s">
        <v>32</v>
      </c>
      <c r="E2890" s="28" t="s">
        <v>1087</v>
      </c>
      <c r="F2890" s="28" t="s">
        <v>63</v>
      </c>
      <c r="G2890" s="35">
        <v>25985.5</v>
      </c>
      <c r="H2890" s="35">
        <f>18471.3+2107.15283+5364.2</f>
        <v>25942.652829999999</v>
      </c>
      <c r="I2890" s="35">
        <f>13600+1757.15283+4108</f>
        <v>19465.152829999999</v>
      </c>
      <c r="J2890" s="35">
        <f>13600+1757.15283+4108</f>
        <v>19465.152829999999</v>
      </c>
      <c r="K2890" s="35">
        <f>13201.90408+1205.24602+3984.55246</f>
        <v>18391.702560000002</v>
      </c>
      <c r="L2890" s="35">
        <f t="shared" si="1344"/>
        <v>70.89368493083289</v>
      </c>
      <c r="M2890" s="35">
        <f t="shared" si="1345"/>
        <v>94.485271811760043</v>
      </c>
    </row>
    <row r="2891" spans="1:13" ht="25.5">
      <c r="A2891" s="59" t="s">
        <v>64</v>
      </c>
      <c r="B2891" s="28" t="s">
        <v>1084</v>
      </c>
      <c r="C2891" s="28" t="s">
        <v>17</v>
      </c>
      <c r="D2891" s="28" t="s">
        <v>32</v>
      </c>
      <c r="E2891" s="28" t="s">
        <v>1087</v>
      </c>
      <c r="F2891" s="28" t="s">
        <v>65</v>
      </c>
      <c r="G2891" s="35">
        <f>G2892</f>
        <v>1812.3</v>
      </c>
      <c r="H2891" s="35">
        <f t="shared" ref="H2891:K2891" si="1363">H2892</f>
        <v>1812.3</v>
      </c>
      <c r="I2891" s="35">
        <f t="shared" si="1363"/>
        <v>1373</v>
      </c>
      <c r="J2891" s="35">
        <f t="shared" si="1363"/>
        <v>1373</v>
      </c>
      <c r="K2891" s="35">
        <f t="shared" si="1363"/>
        <v>951.72682999999995</v>
      </c>
      <c r="L2891" s="35">
        <f t="shared" si="1344"/>
        <v>52.514861226066323</v>
      </c>
      <c r="M2891" s="35">
        <f t="shared" si="1345"/>
        <v>69.317321922796793</v>
      </c>
    </row>
    <row r="2892" spans="1:13" ht="25.5">
      <c r="A2892" s="59" t="s">
        <v>66</v>
      </c>
      <c r="B2892" s="28" t="s">
        <v>1084</v>
      </c>
      <c r="C2892" s="28" t="s">
        <v>17</v>
      </c>
      <c r="D2892" s="28" t="s">
        <v>32</v>
      </c>
      <c r="E2892" s="28" t="s">
        <v>1087</v>
      </c>
      <c r="F2892" s="28" t="s">
        <v>67</v>
      </c>
      <c r="G2892" s="35">
        <v>1812.3</v>
      </c>
      <c r="H2892" s="35">
        <v>1812.3</v>
      </c>
      <c r="I2892" s="35">
        <v>1373</v>
      </c>
      <c r="J2892" s="35">
        <v>1373</v>
      </c>
      <c r="K2892" s="35">
        <v>951.72682999999995</v>
      </c>
      <c r="L2892" s="35">
        <f t="shared" si="1344"/>
        <v>52.514861226066323</v>
      </c>
      <c r="M2892" s="35">
        <f t="shared" si="1345"/>
        <v>69.317321922796793</v>
      </c>
    </row>
    <row r="2893" spans="1:13">
      <c r="A2893" s="59" t="s">
        <v>72</v>
      </c>
      <c r="B2893" s="28" t="s">
        <v>1084</v>
      </c>
      <c r="C2893" s="28" t="s">
        <v>17</v>
      </c>
      <c r="D2893" s="28" t="s">
        <v>32</v>
      </c>
      <c r="E2893" s="28" t="s">
        <v>1087</v>
      </c>
      <c r="F2893" s="28" t="s">
        <v>73</v>
      </c>
      <c r="G2893" s="35">
        <f>G2895</f>
        <v>2</v>
      </c>
      <c r="H2893" s="35">
        <f>H2895+H2894</f>
        <v>44.847169999999998</v>
      </c>
      <c r="I2893" s="35">
        <f t="shared" ref="I2893:K2893" si="1364">I2895+I2894</f>
        <v>44.347169999999998</v>
      </c>
      <c r="J2893" s="35">
        <f t="shared" si="1364"/>
        <v>44.347169999999998</v>
      </c>
      <c r="K2893" s="35">
        <f t="shared" si="1364"/>
        <v>42.847169999999998</v>
      </c>
      <c r="L2893" s="35">
        <f t="shared" si="1344"/>
        <v>95.54040979620342</v>
      </c>
      <c r="M2893" s="35">
        <f t="shared" si="1345"/>
        <v>96.617597019155895</v>
      </c>
    </row>
    <row r="2894" spans="1:13" s="92" customFormat="1">
      <c r="A2894" s="59" t="s">
        <v>84</v>
      </c>
      <c r="B2894" s="28" t="s">
        <v>1084</v>
      </c>
      <c r="C2894" s="28" t="s">
        <v>17</v>
      </c>
      <c r="D2894" s="28" t="s">
        <v>32</v>
      </c>
      <c r="E2894" s="28" t="s">
        <v>1087</v>
      </c>
      <c r="F2894" s="28">
        <v>830</v>
      </c>
      <c r="G2894" s="35"/>
      <c r="H2894" s="35">
        <v>42.847169999999998</v>
      </c>
      <c r="I2894" s="35">
        <v>42.847169999999998</v>
      </c>
      <c r="J2894" s="35">
        <v>42.847169999999998</v>
      </c>
      <c r="K2894" s="35">
        <v>42.847169999999998</v>
      </c>
      <c r="L2894" s="35">
        <f t="shared" si="1344"/>
        <v>100</v>
      </c>
      <c r="M2894" s="35">
        <f t="shared" si="1345"/>
        <v>100</v>
      </c>
    </row>
    <row r="2895" spans="1:13">
      <c r="A2895" s="59" t="s">
        <v>74</v>
      </c>
      <c r="B2895" s="28" t="s">
        <v>1084</v>
      </c>
      <c r="C2895" s="28" t="s">
        <v>17</v>
      </c>
      <c r="D2895" s="28" t="s">
        <v>32</v>
      </c>
      <c r="E2895" s="28" t="s">
        <v>1087</v>
      </c>
      <c r="F2895" s="28" t="s">
        <v>75</v>
      </c>
      <c r="G2895" s="35">
        <v>2</v>
      </c>
      <c r="H2895" s="35">
        <v>2</v>
      </c>
      <c r="I2895" s="35">
        <v>1.5</v>
      </c>
      <c r="J2895" s="35">
        <v>1.5</v>
      </c>
      <c r="K2895" s="35">
        <v>0</v>
      </c>
      <c r="L2895" s="35">
        <f t="shared" si="1344"/>
        <v>0</v>
      </c>
      <c r="M2895" s="35">
        <f t="shared" si="1345"/>
        <v>0</v>
      </c>
    </row>
    <row r="2896" spans="1:13">
      <c r="A2896" s="64" t="s">
        <v>0</v>
      </c>
      <c r="B2896" s="65" t="s">
        <v>0</v>
      </c>
      <c r="C2896" s="58" t="s">
        <v>0</v>
      </c>
      <c r="D2896" s="58" t="s">
        <v>0</v>
      </c>
      <c r="E2896" s="58" t="s">
        <v>0</v>
      </c>
      <c r="F2896" s="58" t="s">
        <v>0</v>
      </c>
      <c r="G2896" s="66" t="s">
        <v>0</v>
      </c>
      <c r="H2896" s="66" t="s">
        <v>0</v>
      </c>
      <c r="I2896" s="66" t="s">
        <v>0</v>
      </c>
      <c r="J2896" s="66" t="s">
        <v>0</v>
      </c>
      <c r="K2896" s="66" t="s">
        <v>0</v>
      </c>
      <c r="L2896" s="35"/>
      <c r="M2896" s="35"/>
    </row>
    <row r="2897" spans="1:13" ht="51">
      <c r="A2897" s="56" t="s">
        <v>1088</v>
      </c>
      <c r="B2897" s="57" t="s">
        <v>1089</v>
      </c>
      <c r="C2897" s="58" t="s">
        <v>0</v>
      </c>
      <c r="D2897" s="58" t="s">
        <v>0</v>
      </c>
      <c r="E2897" s="58" t="s">
        <v>0</v>
      </c>
      <c r="F2897" s="58" t="s">
        <v>0</v>
      </c>
      <c r="G2897" s="30">
        <f>G2898</f>
        <v>28788.5</v>
      </c>
      <c r="H2897" s="30">
        <f t="shared" ref="H2897:K2901" si="1365">H2898</f>
        <v>0</v>
      </c>
      <c r="I2897" s="30">
        <f t="shared" si="1365"/>
        <v>0</v>
      </c>
      <c r="J2897" s="30">
        <f t="shared" si="1365"/>
        <v>0</v>
      </c>
      <c r="K2897" s="30">
        <f t="shared" si="1365"/>
        <v>0</v>
      </c>
      <c r="L2897" s="30">
        <v>0</v>
      </c>
      <c r="M2897" s="30">
        <v>0</v>
      </c>
    </row>
    <row r="2898" spans="1:13">
      <c r="A2898" s="59" t="s">
        <v>30</v>
      </c>
      <c r="B2898" s="28" t="s">
        <v>1089</v>
      </c>
      <c r="C2898" s="28" t="s">
        <v>19</v>
      </c>
      <c r="D2898" s="58" t="s">
        <v>0</v>
      </c>
      <c r="E2898" s="58" t="s">
        <v>0</v>
      </c>
      <c r="F2898" s="58" t="s">
        <v>0</v>
      </c>
      <c r="G2898" s="35">
        <f>G2899</f>
        <v>28788.5</v>
      </c>
      <c r="H2898" s="35">
        <f t="shared" si="1365"/>
        <v>0</v>
      </c>
      <c r="I2898" s="35">
        <f t="shared" si="1365"/>
        <v>0</v>
      </c>
      <c r="J2898" s="35">
        <f t="shared" si="1365"/>
        <v>0</v>
      </c>
      <c r="K2898" s="35">
        <f t="shared" si="1365"/>
        <v>0</v>
      </c>
      <c r="L2898" s="35">
        <v>0</v>
      </c>
      <c r="M2898" s="35">
        <v>0</v>
      </c>
    </row>
    <row r="2899" spans="1:13">
      <c r="A2899" s="59" t="s">
        <v>50</v>
      </c>
      <c r="B2899" s="28" t="s">
        <v>1089</v>
      </c>
      <c r="C2899" s="28" t="s">
        <v>19</v>
      </c>
      <c r="D2899" s="28" t="s">
        <v>51</v>
      </c>
      <c r="E2899" s="58" t="s">
        <v>0</v>
      </c>
      <c r="F2899" s="58" t="s">
        <v>0</v>
      </c>
      <c r="G2899" s="35">
        <f>G2900</f>
        <v>28788.5</v>
      </c>
      <c r="H2899" s="35">
        <f t="shared" si="1365"/>
        <v>0</v>
      </c>
      <c r="I2899" s="35">
        <f t="shared" si="1365"/>
        <v>0</v>
      </c>
      <c r="J2899" s="35">
        <f t="shared" si="1365"/>
        <v>0</v>
      </c>
      <c r="K2899" s="35">
        <f t="shared" si="1365"/>
        <v>0</v>
      </c>
      <c r="L2899" s="35">
        <v>0</v>
      </c>
      <c r="M2899" s="35">
        <v>0</v>
      </c>
    </row>
    <row r="2900" spans="1:13" ht="38.25">
      <c r="A2900" s="59" t="s">
        <v>665</v>
      </c>
      <c r="B2900" s="28" t="s">
        <v>1089</v>
      </c>
      <c r="C2900" s="28" t="s">
        <v>19</v>
      </c>
      <c r="D2900" s="28" t="s">
        <v>51</v>
      </c>
      <c r="E2900" s="28" t="s">
        <v>666</v>
      </c>
      <c r="F2900" s="58" t="s">
        <v>0</v>
      </c>
      <c r="G2900" s="35">
        <f>G2901</f>
        <v>28788.5</v>
      </c>
      <c r="H2900" s="35">
        <f t="shared" si="1365"/>
        <v>0</v>
      </c>
      <c r="I2900" s="35">
        <f t="shared" si="1365"/>
        <v>0</v>
      </c>
      <c r="J2900" s="35">
        <f t="shared" si="1365"/>
        <v>0</v>
      </c>
      <c r="K2900" s="35">
        <f t="shared" si="1365"/>
        <v>0</v>
      </c>
      <c r="L2900" s="35">
        <v>0</v>
      </c>
      <c r="M2900" s="35">
        <v>0</v>
      </c>
    </row>
    <row r="2901" spans="1:13" ht="38.25">
      <c r="A2901" s="59" t="s">
        <v>667</v>
      </c>
      <c r="B2901" s="28" t="s">
        <v>1089</v>
      </c>
      <c r="C2901" s="28" t="s">
        <v>19</v>
      </c>
      <c r="D2901" s="28" t="s">
        <v>51</v>
      </c>
      <c r="E2901" s="28" t="s">
        <v>668</v>
      </c>
      <c r="F2901" s="58" t="s">
        <v>0</v>
      </c>
      <c r="G2901" s="35">
        <f>G2902</f>
        <v>28788.5</v>
      </c>
      <c r="H2901" s="35">
        <f t="shared" si="1365"/>
        <v>0</v>
      </c>
      <c r="I2901" s="35">
        <f t="shared" si="1365"/>
        <v>0</v>
      </c>
      <c r="J2901" s="35">
        <f t="shared" si="1365"/>
        <v>0</v>
      </c>
      <c r="K2901" s="35">
        <f t="shared" si="1365"/>
        <v>0</v>
      </c>
      <c r="L2901" s="35">
        <v>0</v>
      </c>
      <c r="M2901" s="35">
        <v>0</v>
      </c>
    </row>
    <row r="2902" spans="1:13" ht="25.5">
      <c r="A2902" s="59" t="s">
        <v>58</v>
      </c>
      <c r="B2902" s="28" t="s">
        <v>1089</v>
      </c>
      <c r="C2902" s="28" t="s">
        <v>19</v>
      </c>
      <c r="D2902" s="28" t="s">
        <v>51</v>
      </c>
      <c r="E2902" s="28" t="s">
        <v>686</v>
      </c>
      <c r="F2902" s="58" t="s">
        <v>0</v>
      </c>
      <c r="G2902" s="35">
        <f>G2903+G2905+G2907</f>
        <v>28788.5</v>
      </c>
      <c r="H2902" s="35">
        <f t="shared" ref="H2902:K2902" si="1366">H2903+H2905+H2907</f>
        <v>0</v>
      </c>
      <c r="I2902" s="35">
        <f t="shared" si="1366"/>
        <v>0</v>
      </c>
      <c r="J2902" s="35">
        <f t="shared" si="1366"/>
        <v>0</v>
      </c>
      <c r="K2902" s="35">
        <f t="shared" si="1366"/>
        <v>0</v>
      </c>
      <c r="L2902" s="35">
        <v>0</v>
      </c>
      <c r="M2902" s="35">
        <v>0</v>
      </c>
    </row>
    <row r="2903" spans="1:13" ht="63.75">
      <c r="A2903" s="59" t="s">
        <v>60</v>
      </c>
      <c r="B2903" s="28" t="s">
        <v>1089</v>
      </c>
      <c r="C2903" s="28" t="s">
        <v>19</v>
      </c>
      <c r="D2903" s="28" t="s">
        <v>51</v>
      </c>
      <c r="E2903" s="28" t="s">
        <v>686</v>
      </c>
      <c r="F2903" s="28" t="s">
        <v>61</v>
      </c>
      <c r="G2903" s="35">
        <f>G2904</f>
        <v>25390</v>
      </c>
      <c r="H2903" s="35">
        <f t="shared" ref="H2903:K2903" si="1367">H2904</f>
        <v>0</v>
      </c>
      <c r="I2903" s="35">
        <f t="shared" si="1367"/>
        <v>0</v>
      </c>
      <c r="J2903" s="35">
        <f t="shared" si="1367"/>
        <v>0</v>
      </c>
      <c r="K2903" s="35">
        <f t="shared" si="1367"/>
        <v>0</v>
      </c>
      <c r="L2903" s="35">
        <v>0</v>
      </c>
      <c r="M2903" s="35">
        <v>0</v>
      </c>
    </row>
    <row r="2904" spans="1:13" ht="25.5">
      <c r="A2904" s="59" t="s">
        <v>62</v>
      </c>
      <c r="B2904" s="28" t="s">
        <v>1089</v>
      </c>
      <c r="C2904" s="28" t="s">
        <v>19</v>
      </c>
      <c r="D2904" s="28" t="s">
        <v>51</v>
      </c>
      <c r="E2904" s="28" t="s">
        <v>686</v>
      </c>
      <c r="F2904" s="28" t="s">
        <v>63</v>
      </c>
      <c r="G2904" s="35">
        <v>25390</v>
      </c>
      <c r="H2904" s="35">
        <v>0</v>
      </c>
      <c r="I2904" s="35"/>
      <c r="J2904" s="35">
        <v>0</v>
      </c>
      <c r="K2904" s="35">
        <v>0</v>
      </c>
      <c r="L2904" s="35">
        <v>0</v>
      </c>
      <c r="M2904" s="35">
        <v>0</v>
      </c>
    </row>
    <row r="2905" spans="1:13" ht="25.5">
      <c r="A2905" s="59" t="s">
        <v>64</v>
      </c>
      <c r="B2905" s="28" t="s">
        <v>1089</v>
      </c>
      <c r="C2905" s="28" t="s">
        <v>19</v>
      </c>
      <c r="D2905" s="28" t="s">
        <v>51</v>
      </c>
      <c r="E2905" s="28" t="s">
        <v>686</v>
      </c>
      <c r="F2905" s="28" t="s">
        <v>65</v>
      </c>
      <c r="G2905" s="35">
        <f>G2906</f>
        <v>3365</v>
      </c>
      <c r="H2905" s="35">
        <f t="shared" ref="H2905:K2905" si="1368">H2906</f>
        <v>0</v>
      </c>
      <c r="I2905" s="35">
        <f t="shared" si="1368"/>
        <v>0</v>
      </c>
      <c r="J2905" s="35">
        <f t="shared" si="1368"/>
        <v>0</v>
      </c>
      <c r="K2905" s="35">
        <f t="shared" si="1368"/>
        <v>0</v>
      </c>
      <c r="L2905" s="35">
        <v>0</v>
      </c>
      <c r="M2905" s="35">
        <v>0</v>
      </c>
    </row>
    <row r="2906" spans="1:13" ht="25.5">
      <c r="A2906" s="59" t="s">
        <v>66</v>
      </c>
      <c r="B2906" s="28" t="s">
        <v>1089</v>
      </c>
      <c r="C2906" s="28" t="s">
        <v>19</v>
      </c>
      <c r="D2906" s="28" t="s">
        <v>51</v>
      </c>
      <c r="E2906" s="28" t="s">
        <v>686</v>
      </c>
      <c r="F2906" s="28" t="s">
        <v>67</v>
      </c>
      <c r="G2906" s="35">
        <v>3365</v>
      </c>
      <c r="H2906" s="35">
        <v>0</v>
      </c>
      <c r="I2906" s="35">
        <v>0</v>
      </c>
      <c r="J2906" s="35">
        <v>0</v>
      </c>
      <c r="K2906" s="35">
        <v>0</v>
      </c>
      <c r="L2906" s="35">
        <v>0</v>
      </c>
      <c r="M2906" s="35">
        <v>0</v>
      </c>
    </row>
    <row r="2907" spans="1:13">
      <c r="A2907" s="59" t="s">
        <v>72</v>
      </c>
      <c r="B2907" s="28" t="s">
        <v>1089</v>
      </c>
      <c r="C2907" s="28" t="s">
        <v>19</v>
      </c>
      <c r="D2907" s="28" t="s">
        <v>51</v>
      </c>
      <c r="E2907" s="28" t="s">
        <v>686</v>
      </c>
      <c r="F2907" s="28" t="s">
        <v>73</v>
      </c>
      <c r="G2907" s="35">
        <f>G2908</f>
        <v>33.5</v>
      </c>
      <c r="H2907" s="35">
        <f t="shared" ref="H2907:K2907" si="1369">H2908</f>
        <v>0</v>
      </c>
      <c r="I2907" s="35">
        <f t="shared" si="1369"/>
        <v>0</v>
      </c>
      <c r="J2907" s="35">
        <f t="shared" si="1369"/>
        <v>0</v>
      </c>
      <c r="K2907" s="35">
        <f t="shared" si="1369"/>
        <v>0</v>
      </c>
      <c r="L2907" s="35">
        <v>0</v>
      </c>
      <c r="M2907" s="35">
        <v>0</v>
      </c>
    </row>
    <row r="2908" spans="1:13">
      <c r="A2908" s="59" t="s">
        <v>74</v>
      </c>
      <c r="B2908" s="28" t="s">
        <v>1089</v>
      </c>
      <c r="C2908" s="28" t="s">
        <v>19</v>
      </c>
      <c r="D2908" s="28" t="s">
        <v>51</v>
      </c>
      <c r="E2908" s="28" t="s">
        <v>686</v>
      </c>
      <c r="F2908" s="28" t="s">
        <v>75</v>
      </c>
      <c r="G2908" s="35">
        <v>33.5</v>
      </c>
      <c r="H2908" s="35">
        <v>0</v>
      </c>
      <c r="I2908" s="35">
        <v>0</v>
      </c>
      <c r="J2908" s="35">
        <v>0</v>
      </c>
      <c r="K2908" s="35">
        <v>0</v>
      </c>
      <c r="L2908" s="35">
        <v>0</v>
      </c>
      <c r="M2908" s="35">
        <v>0</v>
      </c>
    </row>
    <row r="2909" spans="1:13">
      <c r="A2909" s="64" t="s">
        <v>0</v>
      </c>
      <c r="B2909" s="65" t="s">
        <v>0</v>
      </c>
      <c r="C2909" s="58" t="s">
        <v>0</v>
      </c>
      <c r="D2909" s="58" t="s">
        <v>0</v>
      </c>
      <c r="E2909" s="58" t="s">
        <v>0</v>
      </c>
      <c r="F2909" s="58" t="s">
        <v>0</v>
      </c>
      <c r="G2909" s="66" t="s">
        <v>0</v>
      </c>
      <c r="H2909" s="66" t="s">
        <v>0</v>
      </c>
      <c r="I2909" s="66" t="s">
        <v>0</v>
      </c>
      <c r="J2909" s="66" t="s">
        <v>0</v>
      </c>
      <c r="K2909" s="66" t="s">
        <v>0</v>
      </c>
      <c r="L2909" s="35"/>
      <c r="M2909" s="35"/>
    </row>
    <row r="2910" spans="1:13" ht="38.25">
      <c r="A2910" s="56" t="s">
        <v>1090</v>
      </c>
      <c r="B2910" s="57" t="s">
        <v>1091</v>
      </c>
      <c r="C2910" s="58" t="s">
        <v>0</v>
      </c>
      <c r="D2910" s="58" t="s">
        <v>0</v>
      </c>
      <c r="E2910" s="58" t="s">
        <v>0</v>
      </c>
      <c r="F2910" s="58" t="s">
        <v>0</v>
      </c>
      <c r="G2910" s="30">
        <f>G2911</f>
        <v>26920.5</v>
      </c>
      <c r="H2910" s="30">
        <f t="shared" ref="H2910:K2914" si="1370">H2911</f>
        <v>26920.500000000004</v>
      </c>
      <c r="I2910" s="30">
        <f t="shared" si="1370"/>
        <v>20393.399999999998</v>
      </c>
      <c r="J2910" s="30">
        <f t="shared" si="1370"/>
        <v>20392.849999999999</v>
      </c>
      <c r="K2910" s="30">
        <f t="shared" si="1370"/>
        <v>20132.071379999998</v>
      </c>
      <c r="L2910" s="30">
        <f t="shared" si="1344"/>
        <v>74.783422967626876</v>
      </c>
      <c r="M2910" s="30">
        <f t="shared" si="1345"/>
        <v>98.71856277030804</v>
      </c>
    </row>
    <row r="2911" spans="1:13">
      <c r="A2911" s="59" t="s">
        <v>30</v>
      </c>
      <c r="B2911" s="28" t="s">
        <v>1091</v>
      </c>
      <c r="C2911" s="28" t="s">
        <v>19</v>
      </c>
      <c r="D2911" s="58" t="s">
        <v>0</v>
      </c>
      <c r="E2911" s="58" t="s">
        <v>0</v>
      </c>
      <c r="F2911" s="58" t="s">
        <v>0</v>
      </c>
      <c r="G2911" s="35">
        <f>G2912</f>
        <v>26920.5</v>
      </c>
      <c r="H2911" s="35">
        <f t="shared" si="1370"/>
        <v>26920.500000000004</v>
      </c>
      <c r="I2911" s="35">
        <f t="shared" si="1370"/>
        <v>20393.399999999998</v>
      </c>
      <c r="J2911" s="35">
        <f t="shared" si="1370"/>
        <v>20392.849999999999</v>
      </c>
      <c r="K2911" s="35">
        <f t="shared" si="1370"/>
        <v>20132.071379999998</v>
      </c>
      <c r="L2911" s="35">
        <f t="shared" si="1344"/>
        <v>74.783422967626876</v>
      </c>
      <c r="M2911" s="35">
        <f t="shared" si="1345"/>
        <v>98.71856277030804</v>
      </c>
    </row>
    <row r="2912" spans="1:13">
      <c r="A2912" s="59" t="s">
        <v>230</v>
      </c>
      <c r="B2912" s="28" t="s">
        <v>1091</v>
      </c>
      <c r="C2912" s="28" t="s">
        <v>19</v>
      </c>
      <c r="D2912" s="28" t="s">
        <v>17</v>
      </c>
      <c r="E2912" s="58" t="s">
        <v>0</v>
      </c>
      <c r="F2912" s="58" t="s">
        <v>0</v>
      </c>
      <c r="G2912" s="35">
        <f>G2913</f>
        <v>26920.5</v>
      </c>
      <c r="H2912" s="35">
        <f t="shared" si="1370"/>
        <v>26920.500000000004</v>
      </c>
      <c r="I2912" s="35">
        <f t="shared" si="1370"/>
        <v>20393.399999999998</v>
      </c>
      <c r="J2912" s="35">
        <f t="shared" si="1370"/>
        <v>20392.849999999999</v>
      </c>
      <c r="K2912" s="35">
        <f t="shared" si="1370"/>
        <v>20132.071379999998</v>
      </c>
      <c r="L2912" s="35">
        <f t="shared" si="1344"/>
        <v>74.783422967626876</v>
      </c>
      <c r="M2912" s="35">
        <f t="shared" si="1345"/>
        <v>98.71856277030804</v>
      </c>
    </row>
    <row r="2913" spans="1:13" ht="51">
      <c r="A2913" s="59" t="s">
        <v>20</v>
      </c>
      <c r="B2913" s="28" t="s">
        <v>1091</v>
      </c>
      <c r="C2913" s="28" t="s">
        <v>19</v>
      </c>
      <c r="D2913" s="28" t="s">
        <v>17</v>
      </c>
      <c r="E2913" s="28" t="s">
        <v>21</v>
      </c>
      <c r="F2913" s="58" t="s">
        <v>0</v>
      </c>
      <c r="G2913" s="35">
        <f>G2914</f>
        <v>26920.5</v>
      </c>
      <c r="H2913" s="35">
        <f t="shared" si="1370"/>
        <v>26920.500000000004</v>
      </c>
      <c r="I2913" s="35">
        <f t="shared" si="1370"/>
        <v>20393.399999999998</v>
      </c>
      <c r="J2913" s="35">
        <f t="shared" si="1370"/>
        <v>20392.849999999999</v>
      </c>
      <c r="K2913" s="35">
        <f t="shared" si="1370"/>
        <v>20132.071379999998</v>
      </c>
      <c r="L2913" s="35">
        <f t="shared" si="1344"/>
        <v>74.783422967626876</v>
      </c>
      <c r="M2913" s="35">
        <f t="shared" si="1345"/>
        <v>98.71856277030804</v>
      </c>
    </row>
    <row r="2914" spans="1:13" ht="25.5">
      <c r="A2914" s="59" t="s">
        <v>22</v>
      </c>
      <c r="B2914" s="28" t="s">
        <v>1091</v>
      </c>
      <c r="C2914" s="28" t="s">
        <v>19</v>
      </c>
      <c r="D2914" s="28" t="s">
        <v>17</v>
      </c>
      <c r="E2914" s="28" t="s">
        <v>23</v>
      </c>
      <c r="F2914" s="58" t="s">
        <v>0</v>
      </c>
      <c r="G2914" s="35">
        <f>G2915</f>
        <v>26920.5</v>
      </c>
      <c r="H2914" s="35">
        <f t="shared" si="1370"/>
        <v>26920.500000000004</v>
      </c>
      <c r="I2914" s="35">
        <f t="shared" si="1370"/>
        <v>20393.399999999998</v>
      </c>
      <c r="J2914" s="35">
        <f t="shared" si="1370"/>
        <v>20392.849999999999</v>
      </c>
      <c r="K2914" s="35">
        <f t="shared" si="1370"/>
        <v>20132.071379999998</v>
      </c>
      <c r="L2914" s="35">
        <f t="shared" si="1344"/>
        <v>74.783422967626876</v>
      </c>
      <c r="M2914" s="35">
        <f t="shared" si="1345"/>
        <v>98.71856277030804</v>
      </c>
    </row>
    <row r="2915" spans="1:13" ht="25.5">
      <c r="A2915" s="59" t="s">
        <v>58</v>
      </c>
      <c r="B2915" s="28" t="s">
        <v>1091</v>
      </c>
      <c r="C2915" s="28" t="s">
        <v>19</v>
      </c>
      <c r="D2915" s="28" t="s">
        <v>17</v>
      </c>
      <c r="E2915" s="28" t="s">
        <v>59</v>
      </c>
      <c r="F2915" s="58" t="s">
        <v>0</v>
      </c>
      <c r="G2915" s="35">
        <f>G2916+G2918+G2920</f>
        <v>26920.5</v>
      </c>
      <c r="H2915" s="35">
        <f t="shared" ref="H2915:K2915" si="1371">H2916+H2918+H2920</f>
        <v>26920.500000000004</v>
      </c>
      <c r="I2915" s="35">
        <f t="shared" si="1371"/>
        <v>20393.399999999998</v>
      </c>
      <c r="J2915" s="35">
        <f t="shared" si="1371"/>
        <v>20392.849999999999</v>
      </c>
      <c r="K2915" s="35">
        <f t="shared" si="1371"/>
        <v>20132.071379999998</v>
      </c>
      <c r="L2915" s="35">
        <f t="shared" ref="L2915:L2978" si="1372">K2915/H2915*100</f>
        <v>74.783422967626876</v>
      </c>
      <c r="M2915" s="35">
        <f t="shared" ref="M2915:M2977" si="1373">K2915/I2915*100</f>
        <v>98.71856277030804</v>
      </c>
    </row>
    <row r="2916" spans="1:13" ht="63.75">
      <c r="A2916" s="59" t="s">
        <v>60</v>
      </c>
      <c r="B2916" s="28" t="s">
        <v>1091</v>
      </c>
      <c r="C2916" s="28" t="s">
        <v>19</v>
      </c>
      <c r="D2916" s="28" t="s">
        <v>17</v>
      </c>
      <c r="E2916" s="28" t="s">
        <v>59</v>
      </c>
      <c r="F2916" s="28" t="s">
        <v>61</v>
      </c>
      <c r="G2916" s="35">
        <f>G2917</f>
        <v>23604</v>
      </c>
      <c r="H2916" s="35">
        <f t="shared" ref="H2916:K2916" si="1374">H2917</f>
        <v>23604.000000000004</v>
      </c>
      <c r="I2916" s="35">
        <f t="shared" si="1374"/>
        <v>17702.099999999999</v>
      </c>
      <c r="J2916" s="35">
        <f t="shared" si="1374"/>
        <v>17702.099999999999</v>
      </c>
      <c r="K2916" s="35">
        <f t="shared" si="1374"/>
        <v>17558.687889999997</v>
      </c>
      <c r="L2916" s="35">
        <f t="shared" si="1372"/>
        <v>74.388611633621395</v>
      </c>
      <c r="M2916" s="35">
        <f t="shared" si="1373"/>
        <v>99.189858208913066</v>
      </c>
    </row>
    <row r="2917" spans="1:13" ht="25.5">
      <c r="A2917" s="59" t="s">
        <v>62</v>
      </c>
      <c r="B2917" s="28" t="s">
        <v>1091</v>
      </c>
      <c r="C2917" s="28" t="s">
        <v>19</v>
      </c>
      <c r="D2917" s="28" t="s">
        <v>17</v>
      </c>
      <c r="E2917" s="28" t="s">
        <v>59</v>
      </c>
      <c r="F2917" s="28" t="s">
        <v>63</v>
      </c>
      <c r="G2917" s="35">
        <v>23604</v>
      </c>
      <c r="H2917" s="35">
        <f>17745.4+700.9+5157.7</f>
        <v>23604.000000000004</v>
      </c>
      <c r="I2917" s="35">
        <f>13308.3+525.6+3868.2</f>
        <v>17702.099999999999</v>
      </c>
      <c r="J2917" s="35">
        <f>13308.3+525.6+3868.2</f>
        <v>17702.099999999999</v>
      </c>
      <c r="K2917" s="35">
        <f>13307.94452+382.54337+3868.2</f>
        <v>17558.687889999997</v>
      </c>
      <c r="L2917" s="35">
        <f t="shared" si="1372"/>
        <v>74.388611633621395</v>
      </c>
      <c r="M2917" s="35">
        <f t="shared" si="1373"/>
        <v>99.189858208913066</v>
      </c>
    </row>
    <row r="2918" spans="1:13" ht="25.5">
      <c r="A2918" s="59" t="s">
        <v>64</v>
      </c>
      <c r="B2918" s="28" t="s">
        <v>1091</v>
      </c>
      <c r="C2918" s="28" t="s">
        <v>19</v>
      </c>
      <c r="D2918" s="28" t="s">
        <v>17</v>
      </c>
      <c r="E2918" s="28" t="s">
        <v>59</v>
      </c>
      <c r="F2918" s="28" t="s">
        <v>65</v>
      </c>
      <c r="G2918" s="35">
        <f>G2919</f>
        <v>3313.7</v>
      </c>
      <c r="H2918" s="35">
        <f t="shared" ref="H2918:K2918" si="1375">H2919</f>
        <v>3313.7</v>
      </c>
      <c r="I2918" s="35">
        <f t="shared" si="1375"/>
        <v>2688.5</v>
      </c>
      <c r="J2918" s="35">
        <f t="shared" si="1375"/>
        <v>2688.5</v>
      </c>
      <c r="K2918" s="35">
        <f t="shared" si="1375"/>
        <v>2571.4344900000001</v>
      </c>
      <c r="L2918" s="35">
        <f t="shared" si="1372"/>
        <v>77.600099284787404</v>
      </c>
      <c r="M2918" s="35">
        <f t="shared" si="1373"/>
        <v>95.645694253301102</v>
      </c>
    </row>
    <row r="2919" spans="1:13" ht="25.5">
      <c r="A2919" s="59" t="s">
        <v>66</v>
      </c>
      <c r="B2919" s="28" t="s">
        <v>1091</v>
      </c>
      <c r="C2919" s="28" t="s">
        <v>19</v>
      </c>
      <c r="D2919" s="28" t="s">
        <v>17</v>
      </c>
      <c r="E2919" s="28" t="s">
        <v>59</v>
      </c>
      <c r="F2919" s="28" t="s">
        <v>67</v>
      </c>
      <c r="G2919" s="35">
        <v>3313.7</v>
      </c>
      <c r="H2919" s="35">
        <v>3313.7</v>
      </c>
      <c r="I2919" s="35">
        <v>2688.5</v>
      </c>
      <c r="J2919" s="35">
        <v>2688.5</v>
      </c>
      <c r="K2919" s="35">
        <v>2571.4344900000001</v>
      </c>
      <c r="L2919" s="35">
        <f t="shared" si="1372"/>
        <v>77.600099284787404</v>
      </c>
      <c r="M2919" s="35">
        <f t="shared" si="1373"/>
        <v>95.645694253301102</v>
      </c>
    </row>
    <row r="2920" spans="1:13">
      <c r="A2920" s="59" t="s">
        <v>72</v>
      </c>
      <c r="B2920" s="28" t="s">
        <v>1091</v>
      </c>
      <c r="C2920" s="28" t="s">
        <v>19</v>
      </c>
      <c r="D2920" s="28" t="s">
        <v>17</v>
      </c>
      <c r="E2920" s="28" t="s">
        <v>59</v>
      </c>
      <c r="F2920" s="28" t="s">
        <v>73</v>
      </c>
      <c r="G2920" s="35">
        <f>G2921</f>
        <v>2.8</v>
      </c>
      <c r="H2920" s="35">
        <f t="shared" ref="H2920:K2920" si="1376">H2921</f>
        <v>2.8</v>
      </c>
      <c r="I2920" s="35">
        <f t="shared" si="1376"/>
        <v>2.8</v>
      </c>
      <c r="J2920" s="35">
        <f t="shared" si="1376"/>
        <v>2.25</v>
      </c>
      <c r="K2920" s="35">
        <f t="shared" si="1376"/>
        <v>1.9490000000000001</v>
      </c>
      <c r="L2920" s="35">
        <f t="shared" si="1372"/>
        <v>69.607142857142861</v>
      </c>
      <c r="M2920" s="35">
        <f t="shared" si="1373"/>
        <v>69.607142857142861</v>
      </c>
    </row>
    <row r="2921" spans="1:13">
      <c r="A2921" s="59" t="s">
        <v>74</v>
      </c>
      <c r="B2921" s="28" t="s">
        <v>1091</v>
      </c>
      <c r="C2921" s="28" t="s">
        <v>19</v>
      </c>
      <c r="D2921" s="28" t="s">
        <v>17</v>
      </c>
      <c r="E2921" s="28" t="s">
        <v>59</v>
      </c>
      <c r="F2921" s="28" t="s">
        <v>75</v>
      </c>
      <c r="G2921" s="35">
        <v>2.8</v>
      </c>
      <c r="H2921" s="35">
        <f>1.15+1.1+0.55</f>
        <v>2.8</v>
      </c>
      <c r="I2921" s="35">
        <f>1.15+1.1+0.55</f>
        <v>2.8</v>
      </c>
      <c r="J2921" s="35">
        <f>1.15+0.55+0.55</f>
        <v>2.25</v>
      </c>
      <c r="K2921" s="35">
        <f>0.849+0.55+0.55</f>
        <v>1.9490000000000001</v>
      </c>
      <c r="L2921" s="35">
        <f t="shared" si="1372"/>
        <v>69.607142857142861</v>
      </c>
      <c r="M2921" s="35">
        <f t="shared" si="1373"/>
        <v>69.607142857142861</v>
      </c>
    </row>
    <row r="2922" spans="1:13">
      <c r="A2922" s="64" t="s">
        <v>0</v>
      </c>
      <c r="B2922" s="65" t="s">
        <v>0</v>
      </c>
      <c r="C2922" s="58" t="s">
        <v>0</v>
      </c>
      <c r="D2922" s="58" t="s">
        <v>0</v>
      </c>
      <c r="E2922" s="58" t="s">
        <v>0</v>
      </c>
      <c r="F2922" s="58" t="s">
        <v>0</v>
      </c>
      <c r="G2922" s="66" t="s">
        <v>0</v>
      </c>
      <c r="H2922" s="66" t="s">
        <v>0</v>
      </c>
      <c r="I2922" s="66" t="s">
        <v>0</v>
      </c>
      <c r="J2922" s="66" t="s">
        <v>0</v>
      </c>
      <c r="K2922" s="66" t="s">
        <v>0</v>
      </c>
      <c r="L2922" s="35"/>
      <c r="M2922" s="35"/>
    </row>
    <row r="2923" spans="1:13" ht="25.5">
      <c r="A2923" s="56" t="s">
        <v>1092</v>
      </c>
      <c r="B2923" s="57" t="s">
        <v>1093</v>
      </c>
      <c r="C2923" s="58" t="s">
        <v>0</v>
      </c>
      <c r="D2923" s="58" t="s">
        <v>0</v>
      </c>
      <c r="E2923" s="58" t="s">
        <v>0</v>
      </c>
      <c r="F2923" s="58" t="s">
        <v>0</v>
      </c>
      <c r="G2923" s="30">
        <f>G2924</f>
        <v>57519.099999999991</v>
      </c>
      <c r="H2923" s="30">
        <f t="shared" ref="H2923:K2926" si="1377">H2924</f>
        <v>59556.305739999989</v>
      </c>
      <c r="I2923" s="30">
        <f t="shared" si="1377"/>
        <v>48621.611739999993</v>
      </c>
      <c r="J2923" s="30">
        <f t="shared" si="1377"/>
        <v>48621.611739999993</v>
      </c>
      <c r="K2923" s="30">
        <f t="shared" si="1377"/>
        <v>42095.077669999999</v>
      </c>
      <c r="L2923" s="30">
        <f t="shared" si="1372"/>
        <v>70.681143074540216</v>
      </c>
      <c r="M2923" s="30">
        <f t="shared" si="1373"/>
        <v>86.576886622146361</v>
      </c>
    </row>
    <row r="2924" spans="1:13">
      <c r="A2924" s="59" t="s">
        <v>16</v>
      </c>
      <c r="B2924" s="28" t="s">
        <v>1093</v>
      </c>
      <c r="C2924" s="28" t="s">
        <v>17</v>
      </c>
      <c r="D2924" s="58" t="s">
        <v>0</v>
      </c>
      <c r="E2924" s="58" t="s">
        <v>0</v>
      </c>
      <c r="F2924" s="58" t="s">
        <v>0</v>
      </c>
      <c r="G2924" s="35">
        <f>G2925</f>
        <v>57519.099999999991</v>
      </c>
      <c r="H2924" s="35">
        <f t="shared" si="1377"/>
        <v>59556.305739999989</v>
      </c>
      <c r="I2924" s="35">
        <f t="shared" si="1377"/>
        <v>48621.611739999993</v>
      </c>
      <c r="J2924" s="35">
        <f t="shared" si="1377"/>
        <v>48621.611739999993</v>
      </c>
      <c r="K2924" s="35">
        <f t="shared" si="1377"/>
        <v>42095.077669999999</v>
      </c>
      <c r="L2924" s="35">
        <f t="shared" si="1372"/>
        <v>70.681143074540216</v>
      </c>
      <c r="M2924" s="35">
        <f t="shared" si="1373"/>
        <v>86.576886622146361</v>
      </c>
    </row>
    <row r="2925" spans="1:13">
      <c r="A2925" s="59" t="s">
        <v>386</v>
      </c>
      <c r="B2925" s="28" t="s">
        <v>1093</v>
      </c>
      <c r="C2925" s="28" t="s">
        <v>17</v>
      </c>
      <c r="D2925" s="28" t="s">
        <v>387</v>
      </c>
      <c r="E2925" s="58" t="s">
        <v>0</v>
      </c>
      <c r="F2925" s="58" t="s">
        <v>0</v>
      </c>
      <c r="G2925" s="35">
        <f>G2926</f>
        <v>57519.099999999991</v>
      </c>
      <c r="H2925" s="35">
        <f>H2926+H2942</f>
        <v>59556.305739999989</v>
      </c>
      <c r="I2925" s="35">
        <f t="shared" ref="I2925:K2925" si="1378">I2926+I2942</f>
        <v>48621.611739999993</v>
      </c>
      <c r="J2925" s="35">
        <f t="shared" si="1378"/>
        <v>48621.611739999993</v>
      </c>
      <c r="K2925" s="35">
        <f t="shared" si="1378"/>
        <v>42095.077669999999</v>
      </c>
      <c r="L2925" s="35">
        <f t="shared" si="1372"/>
        <v>70.681143074540216</v>
      </c>
      <c r="M2925" s="35">
        <f t="shared" si="1373"/>
        <v>86.576886622146361</v>
      </c>
    </row>
    <row r="2926" spans="1:13" ht="51">
      <c r="A2926" s="59" t="s">
        <v>713</v>
      </c>
      <c r="B2926" s="28" t="s">
        <v>1093</v>
      </c>
      <c r="C2926" s="28" t="s">
        <v>17</v>
      </c>
      <c r="D2926" s="28" t="s">
        <v>387</v>
      </c>
      <c r="E2926" s="28" t="s">
        <v>714</v>
      </c>
      <c r="F2926" s="58" t="s">
        <v>0</v>
      </c>
      <c r="G2926" s="35">
        <f>G2927</f>
        <v>57519.099999999991</v>
      </c>
      <c r="H2926" s="35">
        <f t="shared" si="1377"/>
        <v>57519.099999999991</v>
      </c>
      <c r="I2926" s="35">
        <f t="shared" si="1377"/>
        <v>46584.405999999995</v>
      </c>
      <c r="J2926" s="35">
        <f t="shared" si="1377"/>
        <v>46584.405999999995</v>
      </c>
      <c r="K2926" s="35">
        <f t="shared" si="1377"/>
        <v>40057.871930000001</v>
      </c>
      <c r="L2926" s="35">
        <f t="shared" si="1372"/>
        <v>69.642730727706109</v>
      </c>
      <c r="M2926" s="35">
        <f t="shared" si="1373"/>
        <v>85.989873800258408</v>
      </c>
    </row>
    <row r="2927" spans="1:13" ht="25.5">
      <c r="A2927" s="59" t="s">
        <v>1094</v>
      </c>
      <c r="B2927" s="28" t="s">
        <v>1093</v>
      </c>
      <c r="C2927" s="28" t="s">
        <v>17</v>
      </c>
      <c r="D2927" s="28" t="s">
        <v>387</v>
      </c>
      <c r="E2927" s="28" t="s">
        <v>1095</v>
      </c>
      <c r="F2927" s="58" t="s">
        <v>0</v>
      </c>
      <c r="G2927" s="35">
        <f>G2928+G2935</f>
        <v>57519.099999999991</v>
      </c>
      <c r="H2927" s="35">
        <f t="shared" ref="H2927:K2927" si="1379">H2928+H2935</f>
        <v>57519.099999999991</v>
      </c>
      <c r="I2927" s="35">
        <f t="shared" si="1379"/>
        <v>46584.405999999995</v>
      </c>
      <c r="J2927" s="35">
        <f t="shared" si="1379"/>
        <v>46584.405999999995</v>
      </c>
      <c r="K2927" s="35">
        <f t="shared" si="1379"/>
        <v>40057.871930000001</v>
      </c>
      <c r="L2927" s="35">
        <f t="shared" si="1372"/>
        <v>69.642730727706109</v>
      </c>
      <c r="M2927" s="35">
        <f t="shared" si="1373"/>
        <v>85.989873800258408</v>
      </c>
    </row>
    <row r="2928" spans="1:13" ht="25.5">
      <c r="A2928" s="59" t="s">
        <v>58</v>
      </c>
      <c r="B2928" s="28" t="s">
        <v>1093</v>
      </c>
      <c r="C2928" s="28" t="s">
        <v>17</v>
      </c>
      <c r="D2928" s="28" t="s">
        <v>387</v>
      </c>
      <c r="E2928" s="28" t="s">
        <v>1096</v>
      </c>
      <c r="F2928" s="58" t="s">
        <v>0</v>
      </c>
      <c r="G2928" s="35">
        <f>G2929+G2931+G2933</f>
        <v>44070.999999999993</v>
      </c>
      <c r="H2928" s="35">
        <f t="shared" ref="H2928:K2928" si="1380">H2929+H2931+H2933</f>
        <v>44070.999999999993</v>
      </c>
      <c r="I2928" s="35">
        <f t="shared" si="1380"/>
        <v>35763.199999999997</v>
      </c>
      <c r="J2928" s="35">
        <f t="shared" si="1380"/>
        <v>35763.199999999997</v>
      </c>
      <c r="K2928" s="35">
        <f t="shared" si="1380"/>
        <v>30901.423310000002</v>
      </c>
      <c r="L2928" s="35">
        <f t="shared" si="1372"/>
        <v>70.117363595107904</v>
      </c>
      <c r="M2928" s="35">
        <f t="shared" si="1373"/>
        <v>86.405644097843606</v>
      </c>
    </row>
    <row r="2929" spans="1:13" ht="63.75">
      <c r="A2929" s="59" t="s">
        <v>60</v>
      </c>
      <c r="B2929" s="28" t="s">
        <v>1093</v>
      </c>
      <c r="C2929" s="28" t="s">
        <v>17</v>
      </c>
      <c r="D2929" s="28" t="s">
        <v>387</v>
      </c>
      <c r="E2929" s="28" t="s">
        <v>1096</v>
      </c>
      <c r="F2929" s="28" t="s">
        <v>61</v>
      </c>
      <c r="G2929" s="35">
        <f>G2930</f>
        <v>42342.2</v>
      </c>
      <c r="H2929" s="35">
        <f t="shared" ref="H2929:K2929" si="1381">H2930</f>
        <v>42342.2</v>
      </c>
      <c r="I2929" s="35">
        <f t="shared" si="1381"/>
        <v>34133</v>
      </c>
      <c r="J2929" s="35">
        <f t="shared" si="1381"/>
        <v>34133</v>
      </c>
      <c r="K2929" s="35">
        <f t="shared" si="1381"/>
        <v>29970.792730000001</v>
      </c>
      <c r="L2929" s="35">
        <f t="shared" si="1372"/>
        <v>70.782322907170638</v>
      </c>
      <c r="M2929" s="35">
        <f t="shared" si="1373"/>
        <v>87.805914305803768</v>
      </c>
    </row>
    <row r="2930" spans="1:13" ht="25.5">
      <c r="A2930" s="59" t="s">
        <v>62</v>
      </c>
      <c r="B2930" s="28" t="s">
        <v>1093</v>
      </c>
      <c r="C2930" s="28" t="s">
        <v>17</v>
      </c>
      <c r="D2930" s="28" t="s">
        <v>387</v>
      </c>
      <c r="E2930" s="28" t="s">
        <v>1096</v>
      </c>
      <c r="F2930" s="28" t="s">
        <v>63</v>
      </c>
      <c r="G2930" s="35">
        <v>42342.2</v>
      </c>
      <c r="H2930" s="35">
        <f>32046.9+903+9392.3</f>
        <v>42342.2</v>
      </c>
      <c r="I2930" s="35">
        <f>25500+703+7930</f>
        <v>34133</v>
      </c>
      <c r="J2930" s="35">
        <f>25500+703+7930</f>
        <v>34133</v>
      </c>
      <c r="K2930" s="35">
        <f>22295.56216+698.8153+6976.41527</f>
        <v>29970.792730000001</v>
      </c>
      <c r="L2930" s="35">
        <f t="shared" si="1372"/>
        <v>70.782322907170638</v>
      </c>
      <c r="M2930" s="35">
        <f t="shared" si="1373"/>
        <v>87.805914305803768</v>
      </c>
    </row>
    <row r="2931" spans="1:13" ht="25.5">
      <c r="A2931" s="59" t="s">
        <v>64</v>
      </c>
      <c r="B2931" s="28" t="s">
        <v>1093</v>
      </c>
      <c r="C2931" s="28" t="s">
        <v>17</v>
      </c>
      <c r="D2931" s="28" t="s">
        <v>387</v>
      </c>
      <c r="E2931" s="28" t="s">
        <v>1096</v>
      </c>
      <c r="F2931" s="28" t="s">
        <v>65</v>
      </c>
      <c r="G2931" s="35">
        <f>G2932</f>
        <v>1716.6</v>
      </c>
      <c r="H2931" s="35">
        <f t="shared" ref="H2931:K2931" si="1382">H2932</f>
        <v>1716.6</v>
      </c>
      <c r="I2931" s="35">
        <f t="shared" si="1382"/>
        <v>1618</v>
      </c>
      <c r="J2931" s="35">
        <f t="shared" si="1382"/>
        <v>1618</v>
      </c>
      <c r="K2931" s="35">
        <f t="shared" si="1382"/>
        <v>925.55957999999998</v>
      </c>
      <c r="L2931" s="35">
        <f t="shared" si="1372"/>
        <v>53.91818594896889</v>
      </c>
      <c r="M2931" s="35">
        <f t="shared" si="1373"/>
        <v>57.203929542645241</v>
      </c>
    </row>
    <row r="2932" spans="1:13" ht="25.5">
      <c r="A2932" s="59" t="s">
        <v>66</v>
      </c>
      <c r="B2932" s="28" t="s">
        <v>1093</v>
      </c>
      <c r="C2932" s="28" t="s">
        <v>17</v>
      </c>
      <c r="D2932" s="28" t="s">
        <v>387</v>
      </c>
      <c r="E2932" s="28" t="s">
        <v>1096</v>
      </c>
      <c r="F2932" s="28" t="s">
        <v>67</v>
      </c>
      <c r="G2932" s="35">
        <v>1716.6</v>
      </c>
      <c r="H2932" s="35">
        <v>1716.6</v>
      </c>
      <c r="I2932" s="35">
        <v>1618</v>
      </c>
      <c r="J2932" s="35">
        <v>1618</v>
      </c>
      <c r="K2932" s="35">
        <v>925.55957999999998</v>
      </c>
      <c r="L2932" s="35">
        <f t="shared" si="1372"/>
        <v>53.91818594896889</v>
      </c>
      <c r="M2932" s="35">
        <f t="shared" si="1373"/>
        <v>57.203929542645241</v>
      </c>
    </row>
    <row r="2933" spans="1:13">
      <c r="A2933" s="59" t="s">
        <v>72</v>
      </c>
      <c r="B2933" s="28" t="s">
        <v>1093</v>
      </c>
      <c r="C2933" s="28" t="s">
        <v>17</v>
      </c>
      <c r="D2933" s="28" t="s">
        <v>387</v>
      </c>
      <c r="E2933" s="28" t="s">
        <v>1096</v>
      </c>
      <c r="F2933" s="28" t="s">
        <v>73</v>
      </c>
      <c r="G2933" s="35">
        <f>G2934</f>
        <v>12.2</v>
      </c>
      <c r="H2933" s="35">
        <f t="shared" ref="H2933:K2933" si="1383">H2934</f>
        <v>12.2</v>
      </c>
      <c r="I2933" s="35">
        <f t="shared" si="1383"/>
        <v>12.2</v>
      </c>
      <c r="J2933" s="35">
        <f t="shared" si="1383"/>
        <v>12.2</v>
      </c>
      <c r="K2933" s="35">
        <f t="shared" si="1383"/>
        <v>5.0709999999999997</v>
      </c>
      <c r="L2933" s="35">
        <f t="shared" si="1372"/>
        <v>41.565573770491802</v>
      </c>
      <c r="M2933" s="35">
        <f t="shared" si="1373"/>
        <v>41.565573770491802</v>
      </c>
    </row>
    <row r="2934" spans="1:13">
      <c r="A2934" s="59" t="s">
        <v>74</v>
      </c>
      <c r="B2934" s="28" t="s">
        <v>1093</v>
      </c>
      <c r="C2934" s="28" t="s">
        <v>17</v>
      </c>
      <c r="D2934" s="28" t="s">
        <v>387</v>
      </c>
      <c r="E2934" s="28" t="s">
        <v>1096</v>
      </c>
      <c r="F2934" s="28" t="s">
        <v>75</v>
      </c>
      <c r="G2934" s="35">
        <v>12.2</v>
      </c>
      <c r="H2934" s="35">
        <v>12.2</v>
      </c>
      <c r="I2934" s="35">
        <v>12.2</v>
      </c>
      <c r="J2934" s="35">
        <v>12.2</v>
      </c>
      <c r="K2934" s="35">
        <v>5.0709999999999997</v>
      </c>
      <c r="L2934" s="35">
        <f t="shared" si="1372"/>
        <v>41.565573770491802</v>
      </c>
      <c r="M2934" s="35">
        <f t="shared" si="1373"/>
        <v>41.565573770491802</v>
      </c>
    </row>
    <row r="2935" spans="1:13" ht="25.5">
      <c r="A2935" s="59" t="s">
        <v>76</v>
      </c>
      <c r="B2935" s="28" t="s">
        <v>1093</v>
      </c>
      <c r="C2935" s="28" t="s">
        <v>17</v>
      </c>
      <c r="D2935" s="28" t="s">
        <v>387</v>
      </c>
      <c r="E2935" s="28" t="s">
        <v>1097</v>
      </c>
      <c r="F2935" s="58" t="s">
        <v>0</v>
      </c>
      <c r="G2935" s="35">
        <f>G2936</f>
        <v>13448.099999999999</v>
      </c>
      <c r="H2935" s="35">
        <f t="shared" ref="H2935:K2935" si="1384">H2936</f>
        <v>13448.1</v>
      </c>
      <c r="I2935" s="35">
        <f t="shared" si="1384"/>
        <v>10821.206</v>
      </c>
      <c r="J2935" s="35">
        <f t="shared" si="1384"/>
        <v>10821.206</v>
      </c>
      <c r="K2935" s="35">
        <f t="shared" si="1384"/>
        <v>9156.4486199999992</v>
      </c>
      <c r="L2935" s="35">
        <f t="shared" si="1372"/>
        <v>68.087303187810903</v>
      </c>
      <c r="M2935" s="35">
        <f t="shared" si="1373"/>
        <v>84.615787001929348</v>
      </c>
    </row>
    <row r="2936" spans="1:13" ht="63.75">
      <c r="A2936" s="59" t="s">
        <v>60</v>
      </c>
      <c r="B2936" s="28" t="s">
        <v>1093</v>
      </c>
      <c r="C2936" s="28" t="s">
        <v>17</v>
      </c>
      <c r="D2936" s="28" t="s">
        <v>387</v>
      </c>
      <c r="E2936" s="28" t="s">
        <v>1097</v>
      </c>
      <c r="F2936" s="28" t="s">
        <v>61</v>
      </c>
      <c r="G2936" s="35">
        <f>G2937+G2938+G2940</f>
        <v>13448.099999999999</v>
      </c>
      <c r="H2936" s="35">
        <f t="shared" ref="H2936:K2936" si="1385">H2937+H2938+H2940</f>
        <v>13448.1</v>
      </c>
      <c r="I2936" s="35">
        <f t="shared" si="1385"/>
        <v>10821.206</v>
      </c>
      <c r="J2936" s="35">
        <f t="shared" si="1385"/>
        <v>10821.206</v>
      </c>
      <c r="K2936" s="35">
        <f t="shared" si="1385"/>
        <v>9156.4486199999992</v>
      </c>
      <c r="L2936" s="35">
        <f t="shared" si="1372"/>
        <v>68.087303187810903</v>
      </c>
      <c r="M2936" s="35">
        <f t="shared" si="1373"/>
        <v>84.615787001929348</v>
      </c>
    </row>
    <row r="2937" spans="1:13">
      <c r="A2937" s="59" t="s">
        <v>78</v>
      </c>
      <c r="B2937" s="28" t="s">
        <v>1093</v>
      </c>
      <c r="C2937" s="28" t="s">
        <v>17</v>
      </c>
      <c r="D2937" s="28" t="s">
        <v>387</v>
      </c>
      <c r="E2937" s="28" t="s">
        <v>1097</v>
      </c>
      <c r="F2937" s="28" t="s">
        <v>79</v>
      </c>
      <c r="G2937" s="35">
        <v>11202.8</v>
      </c>
      <c r="H2937" s="35">
        <f>8437.493+309+2456.265</f>
        <v>11202.758</v>
      </c>
      <c r="I2937" s="35">
        <f>6631.493+309+2103.875</f>
        <v>9044.3680000000004</v>
      </c>
      <c r="J2937" s="35">
        <f>6631.493+309+2103.875</f>
        <v>9044.3680000000004</v>
      </c>
      <c r="K2937" s="35">
        <f>5641.15248+309+1772.28699</f>
        <v>7722.4394699999993</v>
      </c>
      <c r="L2937" s="35">
        <f t="shared" si="1372"/>
        <v>68.933377566488531</v>
      </c>
      <c r="M2937" s="35">
        <f t="shared" si="1373"/>
        <v>85.383959056066701</v>
      </c>
    </row>
    <row r="2938" spans="1:13" ht="25.5">
      <c r="A2938" s="59" t="s">
        <v>64</v>
      </c>
      <c r="B2938" s="28" t="s">
        <v>1093</v>
      </c>
      <c r="C2938" s="28" t="s">
        <v>17</v>
      </c>
      <c r="D2938" s="28" t="s">
        <v>387</v>
      </c>
      <c r="E2938" s="28" t="s">
        <v>1097</v>
      </c>
      <c r="F2938" s="28" t="s">
        <v>65</v>
      </c>
      <c r="G2938" s="35">
        <f>G2939</f>
        <v>2240.3000000000002</v>
      </c>
      <c r="H2938" s="35">
        <f t="shared" ref="H2938:K2938" si="1386">H2939</f>
        <v>2240.3420000000001</v>
      </c>
      <c r="I2938" s="35">
        <f t="shared" si="1386"/>
        <v>1771.838</v>
      </c>
      <c r="J2938" s="35">
        <f t="shared" si="1386"/>
        <v>1771.838</v>
      </c>
      <c r="K2938" s="35">
        <f t="shared" si="1386"/>
        <v>1434.0091500000001</v>
      </c>
      <c r="L2938" s="35">
        <f t="shared" si="1372"/>
        <v>64.008492899744766</v>
      </c>
      <c r="M2938" s="35">
        <f t="shared" si="1373"/>
        <v>80.933423371662656</v>
      </c>
    </row>
    <row r="2939" spans="1:13" ht="25.5">
      <c r="A2939" s="59" t="s">
        <v>66</v>
      </c>
      <c r="B2939" s="28" t="s">
        <v>1093</v>
      </c>
      <c r="C2939" s="28" t="s">
        <v>17</v>
      </c>
      <c r="D2939" s="28" t="s">
        <v>387</v>
      </c>
      <c r="E2939" s="28" t="s">
        <v>1097</v>
      </c>
      <c r="F2939" s="28" t="s">
        <v>67</v>
      </c>
      <c r="G2939" s="35">
        <v>2240.3000000000002</v>
      </c>
      <c r="H2939" s="35">
        <v>2240.3420000000001</v>
      </c>
      <c r="I2939" s="35">
        <v>1771.838</v>
      </c>
      <c r="J2939" s="35">
        <v>1771.838</v>
      </c>
      <c r="K2939" s="35">
        <v>1434.0091500000001</v>
      </c>
      <c r="L2939" s="35">
        <f t="shared" si="1372"/>
        <v>64.008492899744766</v>
      </c>
      <c r="M2939" s="35">
        <f t="shared" si="1373"/>
        <v>80.933423371662656</v>
      </c>
    </row>
    <row r="2940" spans="1:13">
      <c r="A2940" s="59" t="s">
        <v>72</v>
      </c>
      <c r="B2940" s="28" t="s">
        <v>1093</v>
      </c>
      <c r="C2940" s="28" t="s">
        <v>17</v>
      </c>
      <c r="D2940" s="28" t="s">
        <v>387</v>
      </c>
      <c r="E2940" s="28" t="s">
        <v>1097</v>
      </c>
      <c r="F2940" s="28" t="s">
        <v>73</v>
      </c>
      <c r="G2940" s="35">
        <v>5</v>
      </c>
      <c r="H2940" s="35">
        <f>H2941</f>
        <v>5</v>
      </c>
      <c r="I2940" s="35">
        <f t="shared" ref="I2940:K2940" si="1387">I2941</f>
        <v>5</v>
      </c>
      <c r="J2940" s="35">
        <f t="shared" si="1387"/>
        <v>5</v>
      </c>
      <c r="K2940" s="35">
        <f t="shared" si="1387"/>
        <v>0</v>
      </c>
      <c r="L2940" s="35">
        <f t="shared" si="1372"/>
        <v>0</v>
      </c>
      <c r="M2940" s="35">
        <f t="shared" si="1373"/>
        <v>0</v>
      </c>
    </row>
    <row r="2941" spans="1:13">
      <c r="A2941" s="59" t="s">
        <v>74</v>
      </c>
      <c r="B2941" s="28" t="s">
        <v>1093</v>
      </c>
      <c r="C2941" s="28" t="s">
        <v>17</v>
      </c>
      <c r="D2941" s="28" t="s">
        <v>387</v>
      </c>
      <c r="E2941" s="28" t="s">
        <v>1097</v>
      </c>
      <c r="F2941" s="28" t="s">
        <v>75</v>
      </c>
      <c r="G2941" s="35">
        <v>5</v>
      </c>
      <c r="H2941" s="35">
        <v>5</v>
      </c>
      <c r="I2941" s="35">
        <v>5</v>
      </c>
      <c r="J2941" s="35">
        <v>5</v>
      </c>
      <c r="K2941" s="35">
        <v>0</v>
      </c>
      <c r="L2941" s="35">
        <f t="shared" si="1372"/>
        <v>0</v>
      </c>
      <c r="M2941" s="35">
        <f t="shared" si="1373"/>
        <v>0</v>
      </c>
    </row>
    <row r="2942" spans="1:13">
      <c r="A2942" s="62" t="s">
        <v>612</v>
      </c>
      <c r="B2942" s="28" t="s">
        <v>1093</v>
      </c>
      <c r="C2942" s="28" t="s">
        <v>17</v>
      </c>
      <c r="D2942" s="28" t="s">
        <v>387</v>
      </c>
      <c r="E2942" s="29" t="s">
        <v>613</v>
      </c>
      <c r="F2942" s="28"/>
      <c r="G2942" s="35"/>
      <c r="H2942" s="35">
        <f>H2943</f>
        <v>2037.2057400000001</v>
      </c>
      <c r="I2942" s="35">
        <f t="shared" ref="I2942:K2942" si="1388">I2943</f>
        <v>2037.2057400000001</v>
      </c>
      <c r="J2942" s="35">
        <f t="shared" si="1388"/>
        <v>2037.2057400000001</v>
      </c>
      <c r="K2942" s="35">
        <f t="shared" si="1388"/>
        <v>2037.2057400000001</v>
      </c>
      <c r="L2942" s="35">
        <f t="shared" si="1372"/>
        <v>100</v>
      </c>
      <c r="M2942" s="35">
        <f t="shared" si="1373"/>
        <v>100</v>
      </c>
    </row>
    <row r="2943" spans="1:13">
      <c r="A2943" s="62" t="s">
        <v>612</v>
      </c>
      <c r="B2943" s="28" t="s">
        <v>1093</v>
      </c>
      <c r="C2943" s="28" t="s">
        <v>17</v>
      </c>
      <c r="D2943" s="28" t="s">
        <v>387</v>
      </c>
      <c r="E2943" s="29" t="s">
        <v>614</v>
      </c>
      <c r="F2943" s="28"/>
      <c r="G2943" s="35"/>
      <c r="H2943" s="35">
        <f>H2944+H2947</f>
        <v>2037.2057400000001</v>
      </c>
      <c r="I2943" s="35">
        <f t="shared" ref="I2943:K2943" si="1389">I2944+I2947</f>
        <v>2037.2057400000001</v>
      </c>
      <c r="J2943" s="35">
        <f t="shared" si="1389"/>
        <v>2037.2057400000001</v>
      </c>
      <c r="K2943" s="35">
        <f t="shared" si="1389"/>
        <v>2037.2057400000001</v>
      </c>
      <c r="L2943" s="35">
        <f t="shared" si="1372"/>
        <v>100</v>
      </c>
      <c r="M2943" s="35">
        <f t="shared" si="1373"/>
        <v>100</v>
      </c>
    </row>
    <row r="2944" spans="1:13" ht="63.75">
      <c r="A2944" s="59" t="s">
        <v>60</v>
      </c>
      <c r="B2944" s="28" t="s">
        <v>1093</v>
      </c>
      <c r="C2944" s="28" t="s">
        <v>17</v>
      </c>
      <c r="D2944" s="28" t="s">
        <v>387</v>
      </c>
      <c r="E2944" s="29" t="s">
        <v>614</v>
      </c>
      <c r="F2944" s="28">
        <v>100</v>
      </c>
      <c r="G2944" s="35"/>
      <c r="H2944" s="35">
        <f>H2945+H2946</f>
        <v>159.5</v>
      </c>
      <c r="I2944" s="35">
        <f t="shared" ref="I2944:K2944" si="1390">I2945+I2946</f>
        <v>159.5</v>
      </c>
      <c r="J2944" s="35">
        <f t="shared" si="1390"/>
        <v>159.5</v>
      </c>
      <c r="K2944" s="35">
        <f t="shared" si="1390"/>
        <v>159.5</v>
      </c>
      <c r="L2944" s="35">
        <f t="shared" si="1372"/>
        <v>100</v>
      </c>
      <c r="M2944" s="35">
        <f t="shared" si="1373"/>
        <v>100</v>
      </c>
    </row>
    <row r="2945" spans="1:13">
      <c r="A2945" s="59" t="s">
        <v>78</v>
      </c>
      <c r="B2945" s="28" t="s">
        <v>1093</v>
      </c>
      <c r="C2945" s="28" t="s">
        <v>17</v>
      </c>
      <c r="D2945" s="28" t="s">
        <v>387</v>
      </c>
      <c r="E2945" s="29" t="s">
        <v>614</v>
      </c>
      <c r="F2945" s="28">
        <v>110</v>
      </c>
      <c r="G2945" s="35"/>
      <c r="H2945" s="35">
        <v>51.524999999999999</v>
      </c>
      <c r="I2945" s="35">
        <f>51.525</f>
        <v>51.524999999999999</v>
      </c>
      <c r="J2945" s="35">
        <f>51.525</f>
        <v>51.524999999999999</v>
      </c>
      <c r="K2945" s="35">
        <f>51.525</f>
        <v>51.524999999999999</v>
      </c>
      <c r="L2945" s="35">
        <f t="shared" si="1372"/>
        <v>100</v>
      </c>
      <c r="M2945" s="35">
        <f t="shared" si="1373"/>
        <v>100</v>
      </c>
    </row>
    <row r="2946" spans="1:13" ht="25.5">
      <c r="A2946" s="59" t="s">
        <v>62</v>
      </c>
      <c r="B2946" s="28" t="s">
        <v>1093</v>
      </c>
      <c r="C2946" s="28" t="s">
        <v>17</v>
      </c>
      <c r="D2946" s="28" t="s">
        <v>387</v>
      </c>
      <c r="E2946" s="29" t="s">
        <v>614</v>
      </c>
      <c r="F2946" s="28">
        <v>120</v>
      </c>
      <c r="G2946" s="35"/>
      <c r="H2946" s="35">
        <v>107.97499999999999</v>
      </c>
      <c r="I2946" s="35">
        <v>107.97499999999999</v>
      </c>
      <c r="J2946" s="35">
        <v>107.97499999999999</v>
      </c>
      <c r="K2946" s="35">
        <v>107.97499999999999</v>
      </c>
      <c r="L2946" s="35">
        <f t="shared" si="1372"/>
        <v>100</v>
      </c>
      <c r="M2946" s="35">
        <f t="shared" si="1373"/>
        <v>100</v>
      </c>
    </row>
    <row r="2947" spans="1:13" ht="25.5">
      <c r="A2947" s="59" t="s">
        <v>64</v>
      </c>
      <c r="B2947" s="28" t="s">
        <v>1093</v>
      </c>
      <c r="C2947" s="28" t="s">
        <v>17</v>
      </c>
      <c r="D2947" s="28" t="s">
        <v>387</v>
      </c>
      <c r="E2947" s="29" t="s">
        <v>614</v>
      </c>
      <c r="F2947" s="28">
        <v>200</v>
      </c>
      <c r="G2947" s="35"/>
      <c r="H2947" s="35">
        <f>H2948</f>
        <v>1877.7057400000001</v>
      </c>
      <c r="I2947" s="35">
        <f t="shared" ref="I2947:K2947" si="1391">I2948</f>
        <v>1877.7057400000001</v>
      </c>
      <c r="J2947" s="35">
        <f t="shared" si="1391"/>
        <v>1877.7057400000001</v>
      </c>
      <c r="K2947" s="35">
        <f t="shared" si="1391"/>
        <v>1877.7057400000001</v>
      </c>
      <c r="L2947" s="35">
        <f t="shared" si="1372"/>
        <v>100</v>
      </c>
      <c r="M2947" s="35">
        <f t="shared" si="1373"/>
        <v>100</v>
      </c>
    </row>
    <row r="2948" spans="1:13" ht="25.5">
      <c r="A2948" s="59" t="s">
        <v>66</v>
      </c>
      <c r="B2948" s="28" t="s">
        <v>1093</v>
      </c>
      <c r="C2948" s="28" t="s">
        <v>17</v>
      </c>
      <c r="D2948" s="28" t="s">
        <v>387</v>
      </c>
      <c r="E2948" s="29" t="s">
        <v>614</v>
      </c>
      <c r="F2948" s="28">
        <v>240</v>
      </c>
      <c r="G2948" s="35"/>
      <c r="H2948" s="35">
        <v>1877.7057400000001</v>
      </c>
      <c r="I2948" s="35">
        <v>1877.7057400000001</v>
      </c>
      <c r="J2948" s="35">
        <v>1877.7057400000001</v>
      </c>
      <c r="K2948" s="35">
        <v>1877.7057400000001</v>
      </c>
      <c r="L2948" s="35">
        <f t="shared" si="1372"/>
        <v>100</v>
      </c>
      <c r="M2948" s="35">
        <f t="shared" si="1373"/>
        <v>100</v>
      </c>
    </row>
    <row r="2949" spans="1:13">
      <c r="A2949" s="64" t="s">
        <v>0</v>
      </c>
      <c r="B2949" s="65" t="s">
        <v>0</v>
      </c>
      <c r="C2949" s="58" t="s">
        <v>0</v>
      </c>
      <c r="D2949" s="58" t="s">
        <v>0</v>
      </c>
      <c r="E2949" s="58" t="s">
        <v>0</v>
      </c>
      <c r="F2949" s="58" t="s">
        <v>0</v>
      </c>
      <c r="G2949" s="66" t="s">
        <v>0</v>
      </c>
      <c r="H2949" s="66" t="s">
        <v>0</v>
      </c>
      <c r="I2949" s="66" t="s">
        <v>0</v>
      </c>
      <c r="J2949" s="66" t="s">
        <v>0</v>
      </c>
      <c r="K2949" s="66" t="s">
        <v>0</v>
      </c>
      <c r="L2949" s="35"/>
      <c r="M2949" s="35"/>
    </row>
    <row r="2950" spans="1:13" ht="25.5">
      <c r="A2950" s="56" t="s">
        <v>1098</v>
      </c>
      <c r="B2950" s="57" t="s">
        <v>1099</v>
      </c>
      <c r="C2950" s="58" t="s">
        <v>0</v>
      </c>
      <c r="D2950" s="58" t="s">
        <v>0</v>
      </c>
      <c r="E2950" s="58" t="s">
        <v>0</v>
      </c>
      <c r="F2950" s="58" t="s">
        <v>0</v>
      </c>
      <c r="G2950" s="30">
        <f>G2951</f>
        <v>177872.6</v>
      </c>
      <c r="H2950" s="30">
        <f t="shared" ref="H2950:K2952" si="1392">H2951</f>
        <v>177872.6</v>
      </c>
      <c r="I2950" s="30">
        <f t="shared" si="1392"/>
        <v>133513.4</v>
      </c>
      <c r="J2950" s="30">
        <f t="shared" si="1392"/>
        <v>133513.4</v>
      </c>
      <c r="K2950" s="30">
        <f t="shared" si="1392"/>
        <v>133343.49664</v>
      </c>
      <c r="L2950" s="30">
        <f t="shared" si="1372"/>
        <v>74.965732012687724</v>
      </c>
      <c r="M2950" s="30">
        <f t="shared" si="1373"/>
        <v>99.872744338770488</v>
      </c>
    </row>
    <row r="2951" spans="1:13">
      <c r="A2951" s="59" t="s">
        <v>30</v>
      </c>
      <c r="B2951" s="28" t="s">
        <v>1099</v>
      </c>
      <c r="C2951" s="28" t="s">
        <v>19</v>
      </c>
      <c r="D2951" s="58" t="s">
        <v>0</v>
      </c>
      <c r="E2951" s="58" t="s">
        <v>0</v>
      </c>
      <c r="F2951" s="58" t="s">
        <v>0</v>
      </c>
      <c r="G2951" s="35">
        <f>G2952</f>
        <v>177872.6</v>
      </c>
      <c r="H2951" s="35">
        <f t="shared" si="1392"/>
        <v>177872.6</v>
      </c>
      <c r="I2951" s="35">
        <f t="shared" si="1392"/>
        <v>133513.4</v>
      </c>
      <c r="J2951" s="35">
        <f t="shared" si="1392"/>
        <v>133513.4</v>
      </c>
      <c r="K2951" s="35">
        <f t="shared" si="1392"/>
        <v>133343.49664</v>
      </c>
      <c r="L2951" s="35">
        <f t="shared" si="1372"/>
        <v>74.965732012687724</v>
      </c>
      <c r="M2951" s="35">
        <f t="shared" si="1373"/>
        <v>99.872744338770488</v>
      </c>
    </row>
    <row r="2952" spans="1:13">
      <c r="A2952" s="59" t="s">
        <v>489</v>
      </c>
      <c r="B2952" s="28" t="s">
        <v>1099</v>
      </c>
      <c r="C2952" s="28" t="s">
        <v>19</v>
      </c>
      <c r="D2952" s="28" t="s">
        <v>93</v>
      </c>
      <c r="E2952" s="58" t="s">
        <v>0</v>
      </c>
      <c r="F2952" s="58" t="s">
        <v>0</v>
      </c>
      <c r="G2952" s="35">
        <f>G2953</f>
        <v>177872.6</v>
      </c>
      <c r="H2952" s="35">
        <f t="shared" si="1392"/>
        <v>177872.6</v>
      </c>
      <c r="I2952" s="35">
        <f t="shared" si="1392"/>
        <v>133513.4</v>
      </c>
      <c r="J2952" s="35">
        <f t="shared" si="1392"/>
        <v>133513.4</v>
      </c>
      <c r="K2952" s="35">
        <f t="shared" si="1392"/>
        <v>133343.49664</v>
      </c>
      <c r="L2952" s="35">
        <f t="shared" si="1372"/>
        <v>74.965732012687724</v>
      </c>
      <c r="M2952" s="35">
        <f t="shared" si="1373"/>
        <v>99.872744338770488</v>
      </c>
    </row>
    <row r="2953" spans="1:13" ht="63.75">
      <c r="A2953" s="59" t="s">
        <v>186</v>
      </c>
      <c r="B2953" s="28" t="s">
        <v>1099</v>
      </c>
      <c r="C2953" s="28" t="s">
        <v>19</v>
      </c>
      <c r="D2953" s="28" t="s">
        <v>93</v>
      </c>
      <c r="E2953" s="28" t="s">
        <v>187</v>
      </c>
      <c r="F2953" s="58" t="s">
        <v>0</v>
      </c>
      <c r="G2953" s="35">
        <f>G2954+G2958</f>
        <v>177872.6</v>
      </c>
      <c r="H2953" s="35">
        <f t="shared" ref="H2953:K2953" si="1393">H2954+H2958</f>
        <v>177872.6</v>
      </c>
      <c r="I2953" s="35">
        <f t="shared" si="1393"/>
        <v>133513.4</v>
      </c>
      <c r="J2953" s="35">
        <f t="shared" si="1393"/>
        <v>133513.4</v>
      </c>
      <c r="K2953" s="35">
        <f t="shared" si="1393"/>
        <v>133343.49664</v>
      </c>
      <c r="L2953" s="35">
        <f t="shared" si="1372"/>
        <v>74.965732012687724</v>
      </c>
      <c r="M2953" s="35">
        <f t="shared" si="1373"/>
        <v>99.872744338770488</v>
      </c>
    </row>
    <row r="2954" spans="1:13" ht="25.5">
      <c r="A2954" s="59" t="s">
        <v>188</v>
      </c>
      <c r="B2954" s="28" t="s">
        <v>1099</v>
      </c>
      <c r="C2954" s="28" t="s">
        <v>19</v>
      </c>
      <c r="D2954" s="28" t="s">
        <v>93</v>
      </c>
      <c r="E2954" s="28" t="s">
        <v>189</v>
      </c>
      <c r="F2954" s="58" t="s">
        <v>0</v>
      </c>
      <c r="G2954" s="35">
        <f>G2955</f>
        <v>4000</v>
      </c>
      <c r="H2954" s="35">
        <f t="shared" ref="H2954:K2956" si="1394">H2955</f>
        <v>4000</v>
      </c>
      <c r="I2954" s="35">
        <f t="shared" si="1394"/>
        <v>3700</v>
      </c>
      <c r="J2954" s="35">
        <f t="shared" si="1394"/>
        <v>3700</v>
      </c>
      <c r="K2954" s="35">
        <f t="shared" si="1394"/>
        <v>3655.4782599999999</v>
      </c>
      <c r="L2954" s="35">
        <f t="shared" si="1372"/>
        <v>91.386956499999997</v>
      </c>
      <c r="M2954" s="35">
        <f t="shared" si="1373"/>
        <v>98.796709729729727</v>
      </c>
    </row>
    <row r="2955" spans="1:13">
      <c r="A2955" s="59" t="s">
        <v>1100</v>
      </c>
      <c r="B2955" s="28" t="s">
        <v>1099</v>
      </c>
      <c r="C2955" s="28" t="s">
        <v>19</v>
      </c>
      <c r="D2955" s="28" t="s">
        <v>93</v>
      </c>
      <c r="E2955" s="28" t="s">
        <v>1101</v>
      </c>
      <c r="F2955" s="58" t="s">
        <v>0</v>
      </c>
      <c r="G2955" s="35">
        <f>G2956</f>
        <v>4000</v>
      </c>
      <c r="H2955" s="35">
        <f t="shared" si="1394"/>
        <v>4000</v>
      </c>
      <c r="I2955" s="35">
        <f t="shared" si="1394"/>
        <v>3700</v>
      </c>
      <c r="J2955" s="35">
        <f t="shared" si="1394"/>
        <v>3700</v>
      </c>
      <c r="K2955" s="35">
        <f t="shared" si="1394"/>
        <v>3655.4782599999999</v>
      </c>
      <c r="L2955" s="35">
        <f t="shared" si="1372"/>
        <v>91.386956499999997</v>
      </c>
      <c r="M2955" s="35">
        <f t="shared" si="1373"/>
        <v>98.796709729729727</v>
      </c>
    </row>
    <row r="2956" spans="1:13" ht="25.5">
      <c r="A2956" s="59" t="s">
        <v>64</v>
      </c>
      <c r="B2956" s="28" t="s">
        <v>1099</v>
      </c>
      <c r="C2956" s="28" t="s">
        <v>19</v>
      </c>
      <c r="D2956" s="28" t="s">
        <v>93</v>
      </c>
      <c r="E2956" s="28" t="s">
        <v>1101</v>
      </c>
      <c r="F2956" s="28" t="s">
        <v>65</v>
      </c>
      <c r="G2956" s="35">
        <f>G2957</f>
        <v>4000</v>
      </c>
      <c r="H2956" s="35">
        <f t="shared" si="1394"/>
        <v>4000</v>
      </c>
      <c r="I2956" s="35">
        <f t="shared" si="1394"/>
        <v>3700</v>
      </c>
      <c r="J2956" s="35">
        <f t="shared" si="1394"/>
        <v>3700</v>
      </c>
      <c r="K2956" s="35">
        <f t="shared" si="1394"/>
        <v>3655.4782599999999</v>
      </c>
      <c r="L2956" s="35">
        <f t="shared" si="1372"/>
        <v>91.386956499999997</v>
      </c>
      <c r="M2956" s="35">
        <f t="shared" si="1373"/>
        <v>98.796709729729727</v>
      </c>
    </row>
    <row r="2957" spans="1:13" ht="25.5">
      <c r="A2957" s="59" t="s">
        <v>66</v>
      </c>
      <c r="B2957" s="28" t="s">
        <v>1099</v>
      </c>
      <c r="C2957" s="28" t="s">
        <v>19</v>
      </c>
      <c r="D2957" s="28" t="s">
        <v>93</v>
      </c>
      <c r="E2957" s="28" t="s">
        <v>1101</v>
      </c>
      <c r="F2957" s="28" t="s">
        <v>67</v>
      </c>
      <c r="G2957" s="35">
        <v>4000</v>
      </c>
      <c r="H2957" s="35">
        <v>4000</v>
      </c>
      <c r="I2957" s="35">
        <v>3700</v>
      </c>
      <c r="J2957" s="35">
        <v>3700</v>
      </c>
      <c r="K2957" s="35">
        <v>3655.4782599999999</v>
      </c>
      <c r="L2957" s="35">
        <f t="shared" si="1372"/>
        <v>91.386956499999997</v>
      </c>
      <c r="M2957" s="35">
        <f t="shared" si="1373"/>
        <v>98.796709729729727</v>
      </c>
    </row>
    <row r="2958" spans="1:13" ht="25.5">
      <c r="A2958" s="59" t="s">
        <v>22</v>
      </c>
      <c r="B2958" s="28" t="s">
        <v>1099</v>
      </c>
      <c r="C2958" s="28" t="s">
        <v>19</v>
      </c>
      <c r="D2958" s="28" t="s">
        <v>93</v>
      </c>
      <c r="E2958" s="28" t="s">
        <v>486</v>
      </c>
      <c r="F2958" s="58" t="s">
        <v>0</v>
      </c>
      <c r="G2958" s="35">
        <f>G2959+G2964</f>
        <v>173872.6</v>
      </c>
      <c r="H2958" s="35">
        <f t="shared" ref="H2958:K2958" si="1395">H2959+H2964</f>
        <v>173872.6</v>
      </c>
      <c r="I2958" s="35">
        <f t="shared" si="1395"/>
        <v>129813.4</v>
      </c>
      <c r="J2958" s="35">
        <f t="shared" si="1395"/>
        <v>129813.4</v>
      </c>
      <c r="K2958" s="35">
        <f t="shared" si="1395"/>
        <v>129688.01837999999</v>
      </c>
      <c r="L2958" s="35">
        <f t="shared" si="1372"/>
        <v>74.587955997667251</v>
      </c>
      <c r="M2958" s="35">
        <f t="shared" si="1373"/>
        <v>99.903413961886827</v>
      </c>
    </row>
    <row r="2959" spans="1:13" ht="25.5">
      <c r="A2959" s="59" t="s">
        <v>58</v>
      </c>
      <c r="B2959" s="28" t="s">
        <v>1099</v>
      </c>
      <c r="C2959" s="28" t="s">
        <v>19</v>
      </c>
      <c r="D2959" s="28" t="s">
        <v>93</v>
      </c>
      <c r="E2959" s="28" t="s">
        <v>586</v>
      </c>
      <c r="F2959" s="58" t="s">
        <v>0</v>
      </c>
      <c r="G2959" s="35">
        <f>G2960+G2962</f>
        <v>6865.4</v>
      </c>
      <c r="H2959" s="35">
        <f t="shared" ref="H2959:K2959" si="1396">H2960+H2962</f>
        <v>6865.4</v>
      </c>
      <c r="I2959" s="35">
        <f t="shared" si="1396"/>
        <v>5159.2000000000007</v>
      </c>
      <c r="J2959" s="35">
        <f t="shared" si="1396"/>
        <v>5159.2000000000007</v>
      </c>
      <c r="K2959" s="35">
        <f t="shared" si="1396"/>
        <v>5033.8183800000006</v>
      </c>
      <c r="L2959" s="35">
        <f t="shared" si="1372"/>
        <v>73.32155999650422</v>
      </c>
      <c r="M2959" s="35">
        <f t="shared" si="1373"/>
        <v>97.569746859978295</v>
      </c>
    </row>
    <row r="2960" spans="1:13" ht="63.75">
      <c r="A2960" s="59" t="s">
        <v>60</v>
      </c>
      <c r="B2960" s="28" t="s">
        <v>1099</v>
      </c>
      <c r="C2960" s="28" t="s">
        <v>19</v>
      </c>
      <c r="D2960" s="28" t="s">
        <v>93</v>
      </c>
      <c r="E2960" s="28" t="s">
        <v>586</v>
      </c>
      <c r="F2960" s="28" t="s">
        <v>61</v>
      </c>
      <c r="G2960" s="35">
        <f>G2961</f>
        <v>6600.2</v>
      </c>
      <c r="H2960" s="35">
        <f t="shared" ref="H2960:K2960" si="1397">H2961</f>
        <v>6600.2</v>
      </c>
      <c r="I2960" s="35">
        <f t="shared" si="1397"/>
        <v>4965.1000000000004</v>
      </c>
      <c r="J2960" s="35">
        <f t="shared" si="1397"/>
        <v>4965.1000000000004</v>
      </c>
      <c r="K2960" s="35">
        <f t="shared" si="1397"/>
        <v>4894.4786000000004</v>
      </c>
      <c r="L2960" s="35">
        <f t="shared" si="1372"/>
        <v>74.156519499409114</v>
      </c>
      <c r="M2960" s="35">
        <f t="shared" si="1373"/>
        <v>98.577643954804543</v>
      </c>
    </row>
    <row r="2961" spans="1:13" ht="25.5">
      <c r="A2961" s="59" t="s">
        <v>62</v>
      </c>
      <c r="B2961" s="28" t="s">
        <v>1099</v>
      </c>
      <c r="C2961" s="28" t="s">
        <v>19</v>
      </c>
      <c r="D2961" s="28" t="s">
        <v>93</v>
      </c>
      <c r="E2961" s="28" t="s">
        <v>586</v>
      </c>
      <c r="F2961" s="28" t="s">
        <v>63</v>
      </c>
      <c r="G2961" s="35">
        <v>6600.2</v>
      </c>
      <c r="H2961" s="35">
        <f>4900.4+275.8+1424</f>
        <v>6600.2</v>
      </c>
      <c r="I2961" s="35">
        <f>3674.7+223+1067.4</f>
        <v>4965.1000000000004</v>
      </c>
      <c r="J2961" s="35">
        <f>3674.7+223+1067.4</f>
        <v>4965.1000000000004</v>
      </c>
      <c r="K2961" s="35">
        <f>3674.7+152.3786+1067.4</f>
        <v>4894.4786000000004</v>
      </c>
      <c r="L2961" s="35">
        <f t="shared" si="1372"/>
        <v>74.156519499409114</v>
      </c>
      <c r="M2961" s="35">
        <f t="shared" si="1373"/>
        <v>98.577643954804543</v>
      </c>
    </row>
    <row r="2962" spans="1:13" ht="25.5">
      <c r="A2962" s="59" t="s">
        <v>64</v>
      </c>
      <c r="B2962" s="28" t="s">
        <v>1099</v>
      </c>
      <c r="C2962" s="28" t="s">
        <v>19</v>
      </c>
      <c r="D2962" s="28" t="s">
        <v>93</v>
      </c>
      <c r="E2962" s="28" t="s">
        <v>586</v>
      </c>
      <c r="F2962" s="28" t="s">
        <v>65</v>
      </c>
      <c r="G2962" s="35">
        <f>G2963</f>
        <v>265.2</v>
      </c>
      <c r="H2962" s="35">
        <f t="shared" ref="H2962:K2962" si="1398">H2963</f>
        <v>265.2</v>
      </c>
      <c r="I2962" s="35">
        <f t="shared" si="1398"/>
        <v>194.1</v>
      </c>
      <c r="J2962" s="35">
        <f t="shared" si="1398"/>
        <v>194.1</v>
      </c>
      <c r="K2962" s="35">
        <f t="shared" si="1398"/>
        <v>139.33977999999999</v>
      </c>
      <c r="L2962" s="35">
        <f t="shared" si="1372"/>
        <v>52.541395173453999</v>
      </c>
      <c r="M2962" s="35">
        <f t="shared" si="1373"/>
        <v>71.787624935600206</v>
      </c>
    </row>
    <row r="2963" spans="1:13" ht="25.5">
      <c r="A2963" s="59" t="s">
        <v>66</v>
      </c>
      <c r="B2963" s="28" t="s">
        <v>1099</v>
      </c>
      <c r="C2963" s="28" t="s">
        <v>19</v>
      </c>
      <c r="D2963" s="28" t="s">
        <v>93</v>
      </c>
      <c r="E2963" s="28" t="s">
        <v>586</v>
      </c>
      <c r="F2963" s="28" t="s">
        <v>67</v>
      </c>
      <c r="G2963" s="35">
        <v>265.2</v>
      </c>
      <c r="H2963" s="35">
        <v>265.2</v>
      </c>
      <c r="I2963" s="35">
        <v>194.1</v>
      </c>
      <c r="J2963" s="35">
        <v>194.1</v>
      </c>
      <c r="K2963" s="35">
        <v>139.33977999999999</v>
      </c>
      <c r="L2963" s="35">
        <f t="shared" si="1372"/>
        <v>52.541395173453999</v>
      </c>
      <c r="M2963" s="35">
        <f t="shared" si="1373"/>
        <v>71.787624935600206</v>
      </c>
    </row>
    <row r="2964" spans="1:13" ht="25.5">
      <c r="A2964" s="59" t="s">
        <v>76</v>
      </c>
      <c r="B2964" s="28" t="s">
        <v>1099</v>
      </c>
      <c r="C2964" s="28" t="s">
        <v>19</v>
      </c>
      <c r="D2964" s="28" t="s">
        <v>93</v>
      </c>
      <c r="E2964" s="28" t="s">
        <v>587</v>
      </c>
      <c r="F2964" s="58" t="s">
        <v>0</v>
      </c>
      <c r="G2964" s="35">
        <f>G2965</f>
        <v>167007.20000000001</v>
      </c>
      <c r="H2964" s="35">
        <f t="shared" ref="H2964:K2965" si="1399">H2965</f>
        <v>167007.20000000001</v>
      </c>
      <c r="I2964" s="35">
        <f t="shared" si="1399"/>
        <v>124654.2</v>
      </c>
      <c r="J2964" s="35">
        <f t="shared" si="1399"/>
        <v>124654.2</v>
      </c>
      <c r="K2964" s="35">
        <f t="shared" si="1399"/>
        <v>124654.2</v>
      </c>
      <c r="L2964" s="35">
        <f t="shared" si="1372"/>
        <v>74.640015520288941</v>
      </c>
      <c r="M2964" s="35">
        <f t="shared" si="1373"/>
        <v>100</v>
      </c>
    </row>
    <row r="2965" spans="1:13" ht="25.5">
      <c r="A2965" s="59" t="s">
        <v>80</v>
      </c>
      <c r="B2965" s="28" t="s">
        <v>1099</v>
      </c>
      <c r="C2965" s="28" t="s">
        <v>19</v>
      </c>
      <c r="D2965" s="28" t="s">
        <v>93</v>
      </c>
      <c r="E2965" s="28" t="s">
        <v>587</v>
      </c>
      <c r="F2965" s="28" t="s">
        <v>81</v>
      </c>
      <c r="G2965" s="35">
        <f>G2966</f>
        <v>167007.20000000001</v>
      </c>
      <c r="H2965" s="35">
        <f t="shared" si="1399"/>
        <v>167007.20000000001</v>
      </c>
      <c r="I2965" s="35">
        <f t="shared" si="1399"/>
        <v>124654.2</v>
      </c>
      <c r="J2965" s="35">
        <f t="shared" si="1399"/>
        <v>124654.2</v>
      </c>
      <c r="K2965" s="35">
        <f t="shared" si="1399"/>
        <v>124654.2</v>
      </c>
      <c r="L2965" s="35">
        <f t="shared" si="1372"/>
        <v>74.640015520288941</v>
      </c>
      <c r="M2965" s="35">
        <f t="shared" si="1373"/>
        <v>100</v>
      </c>
    </row>
    <row r="2966" spans="1:13">
      <c r="A2966" s="59" t="s">
        <v>271</v>
      </c>
      <c r="B2966" s="28" t="s">
        <v>1099</v>
      </c>
      <c r="C2966" s="28" t="s">
        <v>19</v>
      </c>
      <c r="D2966" s="28" t="s">
        <v>93</v>
      </c>
      <c r="E2966" s="28" t="s">
        <v>587</v>
      </c>
      <c r="F2966" s="28" t="s">
        <v>272</v>
      </c>
      <c r="G2966" s="35">
        <v>167007.20000000001</v>
      </c>
      <c r="H2966" s="35">
        <v>167007.20000000001</v>
      </c>
      <c r="I2966" s="35">
        <f>124654.2</f>
        <v>124654.2</v>
      </c>
      <c r="J2966" s="35">
        <v>124654.2</v>
      </c>
      <c r="K2966" s="35">
        <v>124654.2</v>
      </c>
      <c r="L2966" s="35">
        <f t="shared" si="1372"/>
        <v>74.640015520288941</v>
      </c>
      <c r="M2966" s="35">
        <f t="shared" si="1373"/>
        <v>100</v>
      </c>
    </row>
    <row r="2967" spans="1:13">
      <c r="A2967" s="59"/>
      <c r="B2967" s="28"/>
      <c r="C2967" s="28"/>
      <c r="D2967" s="28"/>
      <c r="E2967" s="28"/>
      <c r="F2967" s="28"/>
      <c r="G2967" s="35"/>
      <c r="H2967" s="35"/>
      <c r="I2967" s="35"/>
      <c r="J2967" s="35"/>
      <c r="K2967" s="35"/>
      <c r="L2967" s="35"/>
      <c r="M2967" s="35"/>
    </row>
    <row r="2968" spans="1:13" ht="25.5">
      <c r="A2968" s="73" t="s">
        <v>1206</v>
      </c>
      <c r="B2968" s="79">
        <v>738</v>
      </c>
      <c r="C2968" s="28"/>
      <c r="D2968" s="28"/>
      <c r="E2968" s="28"/>
      <c r="F2968" s="28"/>
      <c r="G2968" s="75">
        <f>G2969+G2980</f>
        <v>12946.44</v>
      </c>
      <c r="H2968" s="75">
        <f>H2969+H2980</f>
        <v>12946.4</v>
      </c>
      <c r="I2968" s="75">
        <f t="shared" ref="I2968:K2968" si="1400">I2969+I2980</f>
        <v>5064</v>
      </c>
      <c r="J2968" s="75">
        <f t="shared" si="1400"/>
        <v>5064</v>
      </c>
      <c r="K2968" s="75">
        <f t="shared" si="1400"/>
        <v>4084.3216899999998</v>
      </c>
      <c r="L2968" s="30">
        <f t="shared" si="1372"/>
        <v>31.547933711301983</v>
      </c>
      <c r="M2968" s="30">
        <f t="shared" si="1373"/>
        <v>80.654061808846762</v>
      </c>
    </row>
    <row r="2969" spans="1:13">
      <c r="A2969" s="62" t="s">
        <v>16</v>
      </c>
      <c r="B2969" s="29">
        <v>738</v>
      </c>
      <c r="C2969" s="67" t="s">
        <v>17</v>
      </c>
      <c r="D2969" s="28"/>
      <c r="E2969" s="28"/>
      <c r="F2969" s="28"/>
      <c r="G2969" s="35">
        <f t="shared" ref="G2969:H2972" si="1401">G2970</f>
        <v>10746.44</v>
      </c>
      <c r="H2969" s="35">
        <f t="shared" si="1401"/>
        <v>10746.4</v>
      </c>
      <c r="I2969" s="35">
        <f t="shared" ref="I2969:K2972" si="1402">I2970</f>
        <v>4890.2</v>
      </c>
      <c r="J2969" s="35">
        <f t="shared" si="1402"/>
        <v>4890.2</v>
      </c>
      <c r="K2969" s="35">
        <f t="shared" si="1402"/>
        <v>3924.4215899999999</v>
      </c>
      <c r="L2969" s="35">
        <f t="shared" si="1372"/>
        <v>36.518476792228093</v>
      </c>
      <c r="M2969" s="35">
        <f t="shared" si="1373"/>
        <v>80.250738006625497</v>
      </c>
    </row>
    <row r="2970" spans="1:13">
      <c r="A2970" s="62" t="s">
        <v>386</v>
      </c>
      <c r="B2970" s="29">
        <v>738</v>
      </c>
      <c r="C2970" s="67" t="s">
        <v>17</v>
      </c>
      <c r="D2970" s="28">
        <v>13</v>
      </c>
      <c r="E2970" s="28"/>
      <c r="F2970" s="28"/>
      <c r="G2970" s="35">
        <f t="shared" si="1401"/>
        <v>10746.44</v>
      </c>
      <c r="H2970" s="35">
        <f t="shared" si="1401"/>
        <v>10746.4</v>
      </c>
      <c r="I2970" s="35">
        <f t="shared" si="1402"/>
        <v>4890.2</v>
      </c>
      <c r="J2970" s="35">
        <f t="shared" si="1402"/>
        <v>4890.2</v>
      </c>
      <c r="K2970" s="35">
        <f t="shared" si="1402"/>
        <v>3924.4215899999999</v>
      </c>
      <c r="L2970" s="35">
        <f t="shared" si="1372"/>
        <v>36.518476792228093</v>
      </c>
      <c r="M2970" s="35">
        <f t="shared" si="1373"/>
        <v>80.250738006625497</v>
      </c>
    </row>
    <row r="2971" spans="1:13" ht="53.25" customHeight="1">
      <c r="A2971" s="59" t="s">
        <v>713</v>
      </c>
      <c r="B2971" s="29">
        <v>738</v>
      </c>
      <c r="C2971" s="67" t="s">
        <v>17</v>
      </c>
      <c r="D2971" s="28">
        <v>13</v>
      </c>
      <c r="E2971" s="29" t="s">
        <v>714</v>
      </c>
      <c r="F2971" s="28"/>
      <c r="G2971" s="35">
        <f t="shared" si="1401"/>
        <v>10746.44</v>
      </c>
      <c r="H2971" s="35">
        <f t="shared" si="1401"/>
        <v>10746.4</v>
      </c>
      <c r="I2971" s="35">
        <f t="shared" si="1402"/>
        <v>4890.2</v>
      </c>
      <c r="J2971" s="35">
        <f t="shared" si="1402"/>
        <v>4890.2</v>
      </c>
      <c r="K2971" s="35">
        <f t="shared" si="1402"/>
        <v>3924.4215899999999</v>
      </c>
      <c r="L2971" s="35">
        <f t="shared" si="1372"/>
        <v>36.518476792228093</v>
      </c>
      <c r="M2971" s="35">
        <f t="shared" si="1373"/>
        <v>80.250738006625497</v>
      </c>
    </row>
    <row r="2972" spans="1:13" ht="46.5" customHeight="1">
      <c r="A2972" s="59" t="s">
        <v>715</v>
      </c>
      <c r="B2972" s="29">
        <v>738</v>
      </c>
      <c r="C2972" s="67" t="s">
        <v>17</v>
      </c>
      <c r="D2972" s="28">
        <v>13</v>
      </c>
      <c r="E2972" s="29" t="s">
        <v>716</v>
      </c>
      <c r="F2972" s="28"/>
      <c r="G2972" s="35">
        <f t="shared" si="1401"/>
        <v>10746.44</v>
      </c>
      <c r="H2972" s="35">
        <f t="shared" si="1401"/>
        <v>10746.4</v>
      </c>
      <c r="I2972" s="35">
        <f t="shared" si="1402"/>
        <v>4890.2</v>
      </c>
      <c r="J2972" s="35">
        <f t="shared" si="1402"/>
        <v>4890.2</v>
      </c>
      <c r="K2972" s="35">
        <f t="shared" si="1402"/>
        <v>3924.4215899999999</v>
      </c>
      <c r="L2972" s="35">
        <f t="shared" si="1372"/>
        <v>36.518476792228093</v>
      </c>
      <c r="M2972" s="35">
        <f t="shared" si="1373"/>
        <v>80.250738006625497</v>
      </c>
    </row>
    <row r="2973" spans="1:13" ht="35.25" customHeight="1">
      <c r="A2973" s="59" t="s">
        <v>58</v>
      </c>
      <c r="B2973" s="29">
        <v>738</v>
      </c>
      <c r="C2973" s="67" t="s">
        <v>17</v>
      </c>
      <c r="D2973" s="28">
        <v>13</v>
      </c>
      <c r="E2973" s="29" t="s">
        <v>717</v>
      </c>
      <c r="F2973" s="28"/>
      <c r="G2973" s="35">
        <f>G2974+G2976+G2978</f>
        <v>10746.44</v>
      </c>
      <c r="H2973" s="35">
        <f>H2974+H2976+H2978</f>
        <v>10746.4</v>
      </c>
      <c r="I2973" s="35">
        <f t="shared" ref="I2973:K2973" si="1403">I2974+I2976+I2978</f>
        <v>4890.2</v>
      </c>
      <c r="J2973" s="35">
        <f t="shared" si="1403"/>
        <v>4890.2</v>
      </c>
      <c r="K2973" s="35">
        <f t="shared" si="1403"/>
        <v>3924.4215899999999</v>
      </c>
      <c r="L2973" s="35">
        <f t="shared" si="1372"/>
        <v>36.518476792228093</v>
      </c>
      <c r="M2973" s="35">
        <f t="shared" si="1373"/>
        <v>80.250738006625497</v>
      </c>
    </row>
    <row r="2974" spans="1:13" ht="63.75">
      <c r="A2974" s="59" t="s">
        <v>60</v>
      </c>
      <c r="B2974" s="29">
        <v>738</v>
      </c>
      <c r="C2974" s="67" t="s">
        <v>17</v>
      </c>
      <c r="D2974" s="28">
        <v>13</v>
      </c>
      <c r="E2974" s="29" t="s">
        <v>717</v>
      </c>
      <c r="F2974" s="28">
        <v>100</v>
      </c>
      <c r="G2974" s="35">
        <f>G2975</f>
        <v>6948.2</v>
      </c>
      <c r="H2974" s="35">
        <f>H2975</f>
        <v>6948.2</v>
      </c>
      <c r="I2974" s="35">
        <f t="shared" ref="I2974:K2974" si="1404">I2975</f>
        <v>3134.2</v>
      </c>
      <c r="J2974" s="35">
        <f t="shared" si="1404"/>
        <v>3134.2</v>
      </c>
      <c r="K2974" s="35">
        <f t="shared" si="1404"/>
        <v>2263.1292199999998</v>
      </c>
      <c r="L2974" s="35">
        <f t="shared" si="1372"/>
        <v>32.57144612993293</v>
      </c>
      <c r="M2974" s="35">
        <f t="shared" si="1373"/>
        <v>72.207555995150273</v>
      </c>
    </row>
    <row r="2975" spans="1:13" ht="25.5">
      <c r="A2975" s="59" t="s">
        <v>62</v>
      </c>
      <c r="B2975" s="29">
        <v>738</v>
      </c>
      <c r="C2975" s="67" t="s">
        <v>17</v>
      </c>
      <c r="D2975" s="28">
        <v>13</v>
      </c>
      <c r="E2975" s="29" t="s">
        <v>717</v>
      </c>
      <c r="F2975" s="28">
        <v>120</v>
      </c>
      <c r="G2975" s="35">
        <v>6948.2</v>
      </c>
      <c r="H2975" s="35">
        <f>4871.2+626+1451</f>
        <v>6948.2</v>
      </c>
      <c r="I2975" s="35">
        <f>2100+400+634.2</f>
        <v>3134.2</v>
      </c>
      <c r="J2975" s="35">
        <f>2100+400+634.2</f>
        <v>3134.2</v>
      </c>
      <c r="K2975" s="35">
        <f>1478.1173+338.6211+446.39082</f>
        <v>2263.1292199999998</v>
      </c>
      <c r="L2975" s="35">
        <f t="shared" si="1372"/>
        <v>32.57144612993293</v>
      </c>
      <c r="M2975" s="35">
        <f t="shared" si="1373"/>
        <v>72.207555995150273</v>
      </c>
    </row>
    <row r="2976" spans="1:13" ht="25.5">
      <c r="A2976" s="59" t="s">
        <v>64</v>
      </c>
      <c r="B2976" s="29">
        <v>738</v>
      </c>
      <c r="C2976" s="67" t="s">
        <v>17</v>
      </c>
      <c r="D2976" s="28">
        <v>13</v>
      </c>
      <c r="E2976" s="29" t="s">
        <v>717</v>
      </c>
      <c r="F2976" s="28">
        <v>200</v>
      </c>
      <c r="G2976" s="35">
        <f>G2977</f>
        <v>3793.7</v>
      </c>
      <c r="H2976" s="35">
        <f>H2977</f>
        <v>3793.7</v>
      </c>
      <c r="I2976" s="35">
        <f t="shared" ref="I2976:K2976" si="1405">I2977</f>
        <v>1756</v>
      </c>
      <c r="J2976" s="35">
        <f t="shared" si="1405"/>
        <v>1756</v>
      </c>
      <c r="K2976" s="35">
        <f t="shared" si="1405"/>
        <v>1661.2923699999999</v>
      </c>
      <c r="L2976" s="35">
        <f t="shared" si="1372"/>
        <v>43.790820834541478</v>
      </c>
      <c r="M2976" s="35">
        <f t="shared" si="1373"/>
        <v>94.606626993166273</v>
      </c>
    </row>
    <row r="2977" spans="1:13" ht="25.5">
      <c r="A2977" s="59" t="s">
        <v>66</v>
      </c>
      <c r="B2977" s="29">
        <v>738</v>
      </c>
      <c r="C2977" s="67" t="s">
        <v>17</v>
      </c>
      <c r="D2977" s="28">
        <v>13</v>
      </c>
      <c r="E2977" s="29" t="s">
        <v>717</v>
      </c>
      <c r="F2977" s="28">
        <v>240</v>
      </c>
      <c r="G2977" s="35">
        <v>3793.7</v>
      </c>
      <c r="H2977" s="35">
        <v>3793.7</v>
      </c>
      <c r="I2977" s="35">
        <v>1756</v>
      </c>
      <c r="J2977" s="35">
        <v>1756</v>
      </c>
      <c r="K2977" s="35">
        <v>1661.2923699999999</v>
      </c>
      <c r="L2977" s="35">
        <f t="shared" si="1372"/>
        <v>43.790820834541478</v>
      </c>
      <c r="M2977" s="35">
        <f t="shared" si="1373"/>
        <v>94.606626993166273</v>
      </c>
    </row>
    <row r="2978" spans="1:13">
      <c r="A2978" s="59" t="s">
        <v>72</v>
      </c>
      <c r="B2978" s="29">
        <v>738</v>
      </c>
      <c r="C2978" s="67" t="s">
        <v>17</v>
      </c>
      <c r="D2978" s="28">
        <v>13</v>
      </c>
      <c r="E2978" s="29" t="s">
        <v>717</v>
      </c>
      <c r="F2978" s="28">
        <v>800</v>
      </c>
      <c r="G2978" s="35">
        <f>G2979</f>
        <v>4.54</v>
      </c>
      <c r="H2978" s="35">
        <f>H2979</f>
        <v>4.5</v>
      </c>
      <c r="I2978" s="35">
        <f t="shared" ref="I2978:K2978" si="1406">I2979</f>
        <v>0</v>
      </c>
      <c r="J2978" s="35">
        <f t="shared" si="1406"/>
        <v>0</v>
      </c>
      <c r="K2978" s="35">
        <f t="shared" si="1406"/>
        <v>0</v>
      </c>
      <c r="L2978" s="35">
        <f t="shared" si="1372"/>
        <v>0</v>
      </c>
      <c r="M2978" s="35">
        <v>0</v>
      </c>
    </row>
    <row r="2979" spans="1:13">
      <c r="A2979" s="59" t="s">
        <v>74</v>
      </c>
      <c r="B2979" s="29">
        <v>738</v>
      </c>
      <c r="C2979" s="67" t="s">
        <v>17</v>
      </c>
      <c r="D2979" s="28">
        <v>13</v>
      </c>
      <c r="E2979" s="29" t="s">
        <v>717</v>
      </c>
      <c r="F2979" s="28">
        <v>850</v>
      </c>
      <c r="G2979" s="35">
        <v>4.54</v>
      </c>
      <c r="H2979" s="35">
        <v>4.5</v>
      </c>
      <c r="I2979" s="35">
        <v>0</v>
      </c>
      <c r="J2979" s="35">
        <v>0</v>
      </c>
      <c r="K2979" s="35">
        <v>0</v>
      </c>
      <c r="L2979" s="35">
        <f t="shared" ref="L2979:L2988" si="1407">K2979/H2979*100</f>
        <v>0</v>
      </c>
      <c r="M2979" s="35">
        <v>0</v>
      </c>
    </row>
    <row r="2980" spans="1:13">
      <c r="A2980" s="62" t="s">
        <v>30</v>
      </c>
      <c r="B2980" s="29">
        <v>738</v>
      </c>
      <c r="C2980" s="67" t="s">
        <v>19</v>
      </c>
      <c r="D2980" s="28"/>
      <c r="E2980" s="29"/>
      <c r="F2980" s="28"/>
      <c r="G2980" s="35">
        <f t="shared" ref="G2980:H2983" si="1408">G2981</f>
        <v>2200</v>
      </c>
      <c r="H2980" s="35">
        <f t="shared" si="1408"/>
        <v>2200</v>
      </c>
      <c r="I2980" s="35">
        <f t="shared" ref="I2980:K2983" si="1409">I2981</f>
        <v>173.8</v>
      </c>
      <c r="J2980" s="35">
        <f t="shared" si="1409"/>
        <v>173.8</v>
      </c>
      <c r="K2980" s="35">
        <f t="shared" si="1409"/>
        <v>159.90010000000001</v>
      </c>
      <c r="L2980" s="35">
        <f t="shared" si="1407"/>
        <v>7.2681863636363637</v>
      </c>
      <c r="M2980" s="35">
        <f t="shared" ref="M2980:M2988" si="1410">K2980/I2980*100</f>
        <v>92.00235903337169</v>
      </c>
    </row>
    <row r="2981" spans="1:13">
      <c r="A2981" s="62" t="s">
        <v>50</v>
      </c>
      <c r="B2981" s="29">
        <v>738</v>
      </c>
      <c r="C2981" s="67" t="s">
        <v>19</v>
      </c>
      <c r="D2981" s="28">
        <v>12</v>
      </c>
      <c r="E2981" s="29"/>
      <c r="F2981" s="28"/>
      <c r="G2981" s="35">
        <f t="shared" si="1408"/>
        <v>2200</v>
      </c>
      <c r="H2981" s="35">
        <f t="shared" si="1408"/>
        <v>2200</v>
      </c>
      <c r="I2981" s="35">
        <f t="shared" si="1409"/>
        <v>173.8</v>
      </c>
      <c r="J2981" s="35">
        <f t="shared" si="1409"/>
        <v>173.8</v>
      </c>
      <c r="K2981" s="35">
        <f t="shared" si="1409"/>
        <v>159.90010000000001</v>
      </c>
      <c r="L2981" s="35">
        <f t="shared" si="1407"/>
        <v>7.2681863636363637</v>
      </c>
      <c r="M2981" s="35">
        <f t="shared" si="1410"/>
        <v>92.00235903337169</v>
      </c>
    </row>
    <row r="2982" spans="1:13" ht="51">
      <c r="A2982" s="59" t="s">
        <v>713</v>
      </c>
      <c r="B2982" s="29">
        <v>738</v>
      </c>
      <c r="C2982" s="67" t="s">
        <v>19</v>
      </c>
      <c r="D2982" s="28">
        <v>12</v>
      </c>
      <c r="E2982" s="29" t="s">
        <v>714</v>
      </c>
      <c r="F2982" s="28"/>
      <c r="G2982" s="35">
        <f t="shared" si="1408"/>
        <v>2200</v>
      </c>
      <c r="H2982" s="35">
        <f t="shared" si="1408"/>
        <v>2200</v>
      </c>
      <c r="I2982" s="35">
        <f t="shared" si="1409"/>
        <v>173.8</v>
      </c>
      <c r="J2982" s="35">
        <f t="shared" si="1409"/>
        <v>173.8</v>
      </c>
      <c r="K2982" s="35">
        <f t="shared" si="1409"/>
        <v>159.90010000000001</v>
      </c>
      <c r="L2982" s="35">
        <f t="shared" si="1407"/>
        <v>7.2681863636363637</v>
      </c>
      <c r="M2982" s="35">
        <f t="shared" si="1410"/>
        <v>92.00235903337169</v>
      </c>
    </row>
    <row r="2983" spans="1:13" ht="33" customHeight="1">
      <c r="A2983" s="59" t="s">
        <v>719</v>
      </c>
      <c r="B2983" s="29">
        <v>738</v>
      </c>
      <c r="C2983" s="67" t="s">
        <v>19</v>
      </c>
      <c r="D2983" s="28">
        <v>12</v>
      </c>
      <c r="E2983" s="29" t="s">
        <v>720</v>
      </c>
      <c r="F2983" s="28"/>
      <c r="G2983" s="35">
        <f t="shared" si="1408"/>
        <v>2200</v>
      </c>
      <c r="H2983" s="35">
        <f t="shared" si="1408"/>
        <v>2200</v>
      </c>
      <c r="I2983" s="35">
        <f t="shared" si="1409"/>
        <v>173.8</v>
      </c>
      <c r="J2983" s="35">
        <f t="shared" si="1409"/>
        <v>173.8</v>
      </c>
      <c r="K2983" s="35">
        <f t="shared" si="1409"/>
        <v>159.90010000000001</v>
      </c>
      <c r="L2983" s="35">
        <f t="shared" si="1407"/>
        <v>7.2681863636363637</v>
      </c>
      <c r="M2983" s="35">
        <f t="shared" si="1410"/>
        <v>92.00235903337169</v>
      </c>
    </row>
    <row r="2984" spans="1:13" ht="24.75" customHeight="1">
      <c r="A2984" s="59" t="s">
        <v>721</v>
      </c>
      <c r="B2984" s="29">
        <v>738</v>
      </c>
      <c r="C2984" s="67" t="s">
        <v>19</v>
      </c>
      <c r="D2984" s="28">
        <v>12</v>
      </c>
      <c r="E2984" s="29" t="s">
        <v>722</v>
      </c>
      <c r="F2984" s="28"/>
      <c r="G2984" s="35">
        <f>G2985+G2987</f>
        <v>2200</v>
      </c>
      <c r="H2984" s="35">
        <f>H2985+H2987</f>
        <v>2200</v>
      </c>
      <c r="I2984" s="35">
        <f t="shared" ref="I2984:K2984" si="1411">I2985+I2987</f>
        <v>173.8</v>
      </c>
      <c r="J2984" s="35">
        <f t="shared" si="1411"/>
        <v>173.8</v>
      </c>
      <c r="K2984" s="35">
        <f t="shared" si="1411"/>
        <v>159.90010000000001</v>
      </c>
      <c r="L2984" s="35">
        <f t="shared" si="1407"/>
        <v>7.2681863636363637</v>
      </c>
      <c r="M2984" s="35">
        <f t="shared" si="1410"/>
        <v>92.00235903337169</v>
      </c>
    </row>
    <row r="2985" spans="1:13" ht="63.75">
      <c r="A2985" s="59" t="s">
        <v>60</v>
      </c>
      <c r="B2985" s="29">
        <v>738</v>
      </c>
      <c r="C2985" s="67" t="s">
        <v>19</v>
      </c>
      <c r="D2985" s="28">
        <v>12</v>
      </c>
      <c r="E2985" s="29" t="s">
        <v>722</v>
      </c>
      <c r="F2985" s="28">
        <v>100</v>
      </c>
      <c r="G2985" s="35">
        <f>G2986</f>
        <v>140</v>
      </c>
      <c r="H2985" s="35">
        <f>H2986</f>
        <v>140</v>
      </c>
      <c r="I2985" s="35">
        <f t="shared" ref="I2985:K2985" si="1412">I2986</f>
        <v>140</v>
      </c>
      <c r="J2985" s="35">
        <f t="shared" si="1412"/>
        <v>140</v>
      </c>
      <c r="K2985" s="35">
        <f t="shared" si="1412"/>
        <v>126.1001</v>
      </c>
      <c r="L2985" s="35">
        <f t="shared" si="1407"/>
        <v>90.071499999999986</v>
      </c>
      <c r="M2985" s="35">
        <f t="shared" si="1410"/>
        <v>90.071499999999986</v>
      </c>
    </row>
    <row r="2986" spans="1:13" ht="25.5">
      <c r="A2986" s="59" t="s">
        <v>62</v>
      </c>
      <c r="B2986" s="29">
        <v>738</v>
      </c>
      <c r="C2986" s="67" t="s">
        <v>19</v>
      </c>
      <c r="D2986" s="28">
        <v>12</v>
      </c>
      <c r="E2986" s="29" t="s">
        <v>722</v>
      </c>
      <c r="F2986" s="28">
        <v>120</v>
      </c>
      <c r="G2986" s="35">
        <v>140</v>
      </c>
      <c r="H2986" s="35">
        <v>140</v>
      </c>
      <c r="I2986" s="35">
        <v>140</v>
      </c>
      <c r="J2986" s="35">
        <v>140</v>
      </c>
      <c r="K2986" s="35">
        <v>126.1001</v>
      </c>
      <c r="L2986" s="35">
        <f t="shared" si="1407"/>
        <v>90.071499999999986</v>
      </c>
      <c r="M2986" s="35">
        <f t="shared" si="1410"/>
        <v>90.071499999999986</v>
      </c>
    </row>
    <row r="2987" spans="1:13" ht="25.5">
      <c r="A2987" s="59" t="s">
        <v>64</v>
      </c>
      <c r="B2987" s="29">
        <v>738</v>
      </c>
      <c r="C2987" s="67" t="s">
        <v>19</v>
      </c>
      <c r="D2987" s="28">
        <v>12</v>
      </c>
      <c r="E2987" s="29" t="s">
        <v>722</v>
      </c>
      <c r="F2987" s="28">
        <v>200</v>
      </c>
      <c r="G2987" s="35">
        <f>G2988</f>
        <v>2060</v>
      </c>
      <c r="H2987" s="35">
        <f>H2988</f>
        <v>2060</v>
      </c>
      <c r="I2987" s="35">
        <f t="shared" ref="I2987:K2987" si="1413">I2988</f>
        <v>33.799999999999997</v>
      </c>
      <c r="J2987" s="35">
        <f t="shared" si="1413"/>
        <v>33.799999999999997</v>
      </c>
      <c r="K2987" s="35">
        <f t="shared" si="1413"/>
        <v>33.799999999999997</v>
      </c>
      <c r="L2987" s="35">
        <f t="shared" si="1407"/>
        <v>1.6407766990291259</v>
      </c>
      <c r="M2987" s="35">
        <f t="shared" si="1410"/>
        <v>100</v>
      </c>
    </row>
    <row r="2988" spans="1:13" ht="25.5">
      <c r="A2988" s="59" t="s">
        <v>66</v>
      </c>
      <c r="B2988" s="29">
        <v>738</v>
      </c>
      <c r="C2988" s="67" t="s">
        <v>19</v>
      </c>
      <c r="D2988" s="28">
        <v>12</v>
      </c>
      <c r="E2988" s="29" t="s">
        <v>722</v>
      </c>
      <c r="F2988" s="28">
        <v>240</v>
      </c>
      <c r="G2988" s="35">
        <v>2060</v>
      </c>
      <c r="H2988" s="35">
        <v>2060</v>
      </c>
      <c r="I2988" s="35">
        <v>33.799999999999997</v>
      </c>
      <c r="J2988" s="35">
        <v>33.799999999999997</v>
      </c>
      <c r="K2988" s="35">
        <v>33.799999999999997</v>
      </c>
      <c r="L2988" s="35">
        <f t="shared" si="1407"/>
        <v>1.6407766990291259</v>
      </c>
      <c r="M2988" s="35">
        <f t="shared" si="1410"/>
        <v>100</v>
      </c>
    </row>
    <row r="2989" spans="1:13">
      <c r="A2989" s="64" t="s">
        <v>0</v>
      </c>
      <c r="B2989" s="65" t="s">
        <v>0</v>
      </c>
      <c r="C2989" s="65" t="s">
        <v>0</v>
      </c>
      <c r="D2989" s="65" t="s">
        <v>0</v>
      </c>
      <c r="E2989" s="65" t="s">
        <v>0</v>
      </c>
      <c r="F2989" s="65" t="s">
        <v>0</v>
      </c>
      <c r="G2989" s="66" t="s">
        <v>0</v>
      </c>
      <c r="H2989" s="66" t="s">
        <v>0</v>
      </c>
      <c r="I2989" s="66" t="s">
        <v>0</v>
      </c>
      <c r="J2989" s="66" t="s">
        <v>0</v>
      </c>
      <c r="K2989" s="66" t="s">
        <v>0</v>
      </c>
      <c r="L2989" s="66"/>
      <c r="M2989" s="66"/>
    </row>
    <row r="2990" spans="1:13">
      <c r="A2990" s="56" t="s">
        <v>1102</v>
      </c>
      <c r="B2990" s="65" t="s">
        <v>0</v>
      </c>
      <c r="C2990" s="65" t="s">
        <v>0</v>
      </c>
      <c r="D2990" s="65" t="s">
        <v>0</v>
      </c>
      <c r="E2990" s="65" t="s">
        <v>0</v>
      </c>
      <c r="F2990" s="65" t="s">
        <v>0</v>
      </c>
      <c r="G2990" s="30">
        <f>G8+G224+G378+G496+G747+G884+G933+G1248+G1487+G1609+G1736+G1788+G1802+G2235+G2251+G2325+G2425+G2437+G2637+G2650+G2664+G2689+G2702+G2727+G2799+G2814+G2827+G2867+G2883+G2897+G2910+G2923+G2950+G2968</f>
        <v>69335157.529999986</v>
      </c>
      <c r="H2990" s="30">
        <f>H8+H224+H378+H496+H747+H884+H933+H1248+H1487+H1609+H1736+H1788+H1802+H2235+H2251+H2325+H2425+H2437+H2637+H2650+H2664+H2689+H2702+H2727+H2799+H2814+H2827+H2867+H2883+H2897+H2910+H2923+H2950+H2968</f>
        <v>70714783.75395</v>
      </c>
      <c r="I2990" s="30">
        <f>I8+I224+I378+I496+I747+I884+I933+I1248+I1487+I1609+I1736+I1788+I1802+I2235+I2251+I2325+I2425+I2437+I2637+I2650+I2664+I2689+I2702+I2727+I2799+I2814+I2827+I2867+I2883+I2897+I2910+I2923+I2950+I2968</f>
        <v>50137542.954930007</v>
      </c>
      <c r="J2990" s="30">
        <f>J8+J224+J378+J496+J747+J884+J933+J1248+J1487+J1609+J1736+J1788+J1802+J2235+J2251+J2325+J2425+J2437+J2637+J2650+J2664+J2689+J2702+J2727+J2799+J2814+J2827+J2867+J2883+J2897+J2910+J2923+J2950+J2968</f>
        <v>50074927.128498986</v>
      </c>
      <c r="K2990" s="30">
        <f>K8+K224+K378+K496+K747+K884+K933+K1248+K1487+K1609+K1736+K1788+K1802+K2235+K2251+K2325+K2425+K2437+K2637+K2650+K2664+K2689+K2702+K2727+K2799+K2814+K2827+K2867+K2883+K2897+K2910+K2923+K2950+K2968</f>
        <v>49251332.541350015</v>
      </c>
      <c r="L2990" s="30">
        <f t="shared" ref="L2990" si="1414">K2990/H2990*100</f>
        <v>69.647858519540378</v>
      </c>
      <c r="M2990" s="30">
        <f t="shared" ref="M2990" si="1415">K2990/I2990*100</f>
        <v>98.232441477284539</v>
      </c>
    </row>
    <row r="2991" spans="1:13" ht="54.75" customHeight="1">
      <c r="G2991" s="80"/>
      <c r="I2991" s="80"/>
      <c r="J2991" s="80"/>
    </row>
  </sheetData>
  <mergeCells count="15">
    <mergeCell ref="F1:G1"/>
    <mergeCell ref="G5:G6"/>
    <mergeCell ref="H5:H6"/>
    <mergeCell ref="A3:M3"/>
    <mergeCell ref="J1:M1"/>
    <mergeCell ref="I5:I6"/>
    <mergeCell ref="J5:J6"/>
    <mergeCell ref="K5:K6"/>
    <mergeCell ref="L5:M5"/>
    <mergeCell ref="A5:A6"/>
    <mergeCell ref="B5:B6"/>
    <mergeCell ref="C5:C6"/>
    <mergeCell ref="D5:D6"/>
    <mergeCell ref="E5:E6"/>
    <mergeCell ref="F5:F6"/>
  </mergeCells>
  <pageMargins left="1.1811023622047245" right="0.59055118110236227" top="0.78740157480314965" bottom="0.98425196850393704" header="0.31496062992125984" footer="0.31496062992125984"/>
  <pageSetup paperSize="9" scale="63" orientation="landscape" r:id="rId1"/>
  <headerFooter>
    <oddFooter>&amp;C&amp;P</oddFooter>
  </headerFooter>
  <ignoredErrors>
    <ignoredError sqref="C919:D9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K2156"/>
  <sheetViews>
    <sheetView view="pageBreakPreview" zoomScale="110" zoomScaleSheetLayoutView="110" workbookViewId="0">
      <pane xSplit="2" ySplit="10" topLeftCell="C2151" activePane="bottomRight" state="frozen"/>
      <selection pane="topRight" activeCell="C1" sqref="C1"/>
      <selection pane="bottomLeft" activeCell="A11" sqref="A11"/>
      <selection pane="bottomRight" activeCell="A2157" sqref="A2157:XFD2159"/>
    </sheetView>
  </sheetViews>
  <sheetFormatPr defaultRowHeight="12.75"/>
  <cols>
    <col min="1" max="1" width="66.5" customWidth="1"/>
    <col min="2" max="2" width="14.83203125" bestFit="1" customWidth="1"/>
    <col min="3" max="3" width="5" style="83" customWidth="1"/>
    <col min="4" max="4" width="18.6640625" style="83" customWidth="1"/>
    <col min="5" max="5" width="19.83203125" style="83" customWidth="1"/>
    <col min="6" max="6" width="18.6640625" style="83" customWidth="1"/>
    <col min="7" max="7" width="20.1640625" style="83" customWidth="1"/>
    <col min="8" max="8" width="17.33203125" style="83" customWidth="1"/>
    <col min="9" max="9" width="16.83203125" style="83" customWidth="1"/>
    <col min="10" max="10" width="15.5" style="83" customWidth="1"/>
  </cols>
  <sheetData>
    <row r="1" spans="1:11" ht="30" customHeight="1">
      <c r="E1" s="124" t="s">
        <v>1219</v>
      </c>
      <c r="F1" s="124"/>
      <c r="G1" s="124"/>
      <c r="H1" s="124"/>
      <c r="I1" s="125"/>
      <c r="J1" s="125"/>
    </row>
    <row r="3" spans="1:11" ht="44.25" customHeight="1">
      <c r="A3" s="126" t="s">
        <v>1218</v>
      </c>
      <c r="B3" s="126"/>
      <c r="C3" s="126"/>
      <c r="D3" s="126"/>
      <c r="E3" s="127"/>
      <c r="F3" s="127"/>
      <c r="G3" s="127"/>
      <c r="H3" s="127"/>
      <c r="I3" s="127"/>
      <c r="J3" s="127"/>
    </row>
    <row r="4" spans="1:11" ht="20.25" customHeight="1">
      <c r="A4" s="44"/>
      <c r="B4" s="44"/>
      <c r="C4" s="84"/>
      <c r="D4" s="84"/>
      <c r="E4" s="85"/>
      <c r="F4" s="85"/>
      <c r="G4" s="85"/>
      <c r="H4" s="85"/>
      <c r="I4" s="85"/>
      <c r="J4" s="85"/>
    </row>
    <row r="5" spans="1:11" ht="18" customHeight="1">
      <c r="A5" s="39"/>
      <c r="B5" s="39"/>
      <c r="C5" s="39"/>
      <c r="D5" s="39"/>
      <c r="J5" s="45" t="s">
        <v>1209</v>
      </c>
    </row>
    <row r="6" spans="1:11" ht="33" customHeight="1">
      <c r="A6" s="106" t="s">
        <v>1</v>
      </c>
      <c r="B6" s="106" t="s">
        <v>5</v>
      </c>
      <c r="C6" s="106" t="s">
        <v>6</v>
      </c>
      <c r="D6" s="122" t="s">
        <v>1252</v>
      </c>
      <c r="E6" s="102" t="s">
        <v>1213</v>
      </c>
      <c r="F6" s="102" t="s">
        <v>1214</v>
      </c>
      <c r="G6" s="102" t="s">
        <v>1106</v>
      </c>
      <c r="H6" s="102" t="s">
        <v>1215</v>
      </c>
      <c r="I6" s="104" t="s">
        <v>1216</v>
      </c>
      <c r="J6" s="105"/>
    </row>
    <row r="7" spans="1:11" ht="111.75" customHeight="1">
      <c r="A7" s="107"/>
      <c r="B7" s="107"/>
      <c r="C7" s="107"/>
      <c r="D7" s="123"/>
      <c r="E7" s="103"/>
      <c r="F7" s="103"/>
      <c r="G7" s="103"/>
      <c r="H7" s="103"/>
      <c r="I7" s="87" t="s">
        <v>1107</v>
      </c>
      <c r="J7" s="87" t="s">
        <v>1217</v>
      </c>
    </row>
    <row r="8" spans="1:11">
      <c r="A8" s="2" t="s">
        <v>7</v>
      </c>
      <c r="B8" s="2" t="s">
        <v>8</v>
      </c>
      <c r="C8" s="2" t="s">
        <v>9</v>
      </c>
      <c r="D8" s="2" t="s">
        <v>10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3"/>
    </row>
    <row r="9" spans="1:11" ht="25.5">
      <c r="A9" s="4" t="s">
        <v>1278</v>
      </c>
      <c r="B9" s="1" t="s">
        <v>0</v>
      </c>
      <c r="C9" s="1" t="s">
        <v>0</v>
      </c>
      <c r="D9" s="7">
        <f>D11+D167+D388+D720+D794+D1014+D1074+D1137+D1173+D1233+D1277+D1367+D1445+D1453+D1522+D1588+D1627+D1706+D1742+D1755+D1829+D1911-0.1</f>
        <v>63697903.079999976</v>
      </c>
      <c r="E9" s="7">
        <f>E11+E167+E388+E720+E794+E1014+E1074+E1137+E1173+E1233+E1277+E1367+E1445+E1453+E1522+E1588+E1627+E1706+E1742+E1755+E1829+E1911</f>
        <v>65065357.642389998</v>
      </c>
      <c r="F9" s="7">
        <f t="shared" ref="F9:G9" si="0">F11+F167+F388+F720+F794+F1014+F1074+F1137+F1173+F1233+F1277+F1367+F1445+F1453+F1522+F1588+F1627+F1706+F1742+F1755+F1829+F1911</f>
        <v>47876368.407659993</v>
      </c>
      <c r="G9" s="7">
        <f t="shared" si="0"/>
        <v>47826326.221559003</v>
      </c>
      <c r="H9" s="7">
        <f>H11+H167+H388+H720+H794+H1014+H1074+H1137+H1173+H1233+H1277+H1367+H1445+H1453+H1522+H1588+H1627+H1706+H1742+H1755+H1829+H1911</f>
        <v>47070720.957430005</v>
      </c>
      <c r="I9" s="7">
        <f>H9/E9*100</f>
        <v>72.343751979568765</v>
      </c>
      <c r="J9" s="7">
        <f>H9/F9*100</f>
        <v>98.317233580939089</v>
      </c>
    </row>
    <row r="10" spans="1:11">
      <c r="A10" s="4" t="s">
        <v>0</v>
      </c>
      <c r="B10" s="17" t="s">
        <v>0</v>
      </c>
      <c r="C10" s="5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/>
      <c r="J10" s="7"/>
    </row>
    <row r="11" spans="1:11" ht="25.5">
      <c r="A11" s="4" t="s">
        <v>136</v>
      </c>
      <c r="B11" s="5" t="s">
        <v>137</v>
      </c>
      <c r="C11" s="5" t="s">
        <v>0</v>
      </c>
      <c r="D11" s="7">
        <f>D12+D32+D56+D72+D78+D83+D103+D130</f>
        <v>12143895.899999999</v>
      </c>
      <c r="E11" s="7">
        <f>E12+E32+E56+E72+E78+E83+E103+E130</f>
        <v>12539051.984480001</v>
      </c>
      <c r="F11" s="7">
        <f t="shared" ref="F11:G11" si="1">F12+F32+F56+F72+F78+F83+F103+F130</f>
        <v>9228377.4529199991</v>
      </c>
      <c r="G11" s="7">
        <f t="shared" si="1"/>
        <v>9228377.4529199991</v>
      </c>
      <c r="H11" s="7">
        <f>H12+H32+H56+H72+H78+H83+H103+H130</f>
        <v>9217310.4809399992</v>
      </c>
      <c r="I11" s="7">
        <f t="shared" ref="I11:I95" si="2">H11/E11*100</f>
        <v>73.508830590610586</v>
      </c>
      <c r="J11" s="7">
        <f t="shared" ref="J11:J95" si="3">H11/F11*100</f>
        <v>99.880076730319502</v>
      </c>
    </row>
    <row r="12" spans="1:11" ht="38.25">
      <c r="A12" s="4" t="s">
        <v>306</v>
      </c>
      <c r="B12" s="5" t="s">
        <v>307</v>
      </c>
      <c r="C12" s="5" t="s">
        <v>0</v>
      </c>
      <c r="D12" s="7">
        <f>D13+D16+D22+D25</f>
        <v>149772.29999999999</v>
      </c>
      <c r="E12" s="7">
        <f>E13+E16+E22+E25+E19+E28</f>
        <v>157595.91613999999</v>
      </c>
      <c r="F12" s="7">
        <f t="shared" ref="F12:G12" si="4">F13+F16+F22+F25+F19+F28</f>
        <v>94763.399709999998</v>
      </c>
      <c r="G12" s="7">
        <f t="shared" si="4"/>
        <v>94763.399709999998</v>
      </c>
      <c r="H12" s="7">
        <f>H13+H16+H22+H25+H19+H28</f>
        <v>94730.344710000005</v>
      </c>
      <c r="I12" s="7">
        <f t="shared" si="2"/>
        <v>60.109644355153534</v>
      </c>
      <c r="J12" s="7">
        <f t="shared" si="3"/>
        <v>99.965118389482484</v>
      </c>
    </row>
    <row r="13" spans="1:11" ht="38.25">
      <c r="A13" s="8" t="s">
        <v>323</v>
      </c>
      <c r="B13" s="1" t="s">
        <v>324</v>
      </c>
      <c r="C13" s="1" t="s">
        <v>0</v>
      </c>
      <c r="D13" s="9">
        <f>D14</f>
        <v>81403.5</v>
      </c>
      <c r="E13" s="9">
        <f>E14</f>
        <v>81403.5</v>
      </c>
      <c r="F13" s="9">
        <f t="shared" ref="F13:G14" si="5">F14</f>
        <v>51063.657520000001</v>
      </c>
      <c r="G13" s="9">
        <f t="shared" si="5"/>
        <v>51063.657520000001</v>
      </c>
      <c r="H13" s="9">
        <f>H14</f>
        <v>51063.657520000001</v>
      </c>
      <c r="I13" s="9">
        <f t="shared" si="2"/>
        <v>62.729068799253106</v>
      </c>
      <c r="J13" s="9">
        <f t="shared" si="3"/>
        <v>100</v>
      </c>
    </row>
    <row r="14" spans="1:11" ht="25.5">
      <c r="A14" s="8" t="s">
        <v>80</v>
      </c>
      <c r="B14" s="1" t="s">
        <v>324</v>
      </c>
      <c r="C14" s="1" t="s">
        <v>81</v>
      </c>
      <c r="D14" s="9">
        <f>D15</f>
        <v>81403.5</v>
      </c>
      <c r="E14" s="9">
        <f>E15</f>
        <v>81403.5</v>
      </c>
      <c r="F14" s="9">
        <f t="shared" si="5"/>
        <v>51063.657520000001</v>
      </c>
      <c r="G14" s="9">
        <f t="shared" si="5"/>
        <v>51063.657520000001</v>
      </c>
      <c r="H14" s="9">
        <f>H15</f>
        <v>51063.657520000001</v>
      </c>
      <c r="I14" s="9">
        <f t="shared" si="2"/>
        <v>62.729068799253106</v>
      </c>
      <c r="J14" s="9">
        <f t="shared" si="3"/>
        <v>100</v>
      </c>
    </row>
    <row r="15" spans="1:11">
      <c r="A15" s="8" t="s">
        <v>271</v>
      </c>
      <c r="B15" s="1" t="s">
        <v>324</v>
      </c>
      <c r="C15" s="1" t="s">
        <v>272</v>
      </c>
      <c r="D15" s="9">
        <f>ведомство!G640</f>
        <v>81403.5</v>
      </c>
      <c r="E15" s="9">
        <f>ведомство!H640</f>
        <v>81403.5</v>
      </c>
      <c r="F15" s="9">
        <f>ведомство!I640</f>
        <v>51063.657520000001</v>
      </c>
      <c r="G15" s="9">
        <f>ведомство!J640</f>
        <v>51063.657520000001</v>
      </c>
      <c r="H15" s="9">
        <f>ведомство!K640</f>
        <v>51063.657520000001</v>
      </c>
      <c r="I15" s="9">
        <f t="shared" si="2"/>
        <v>62.729068799253106</v>
      </c>
      <c r="J15" s="9">
        <f t="shared" si="3"/>
        <v>100</v>
      </c>
    </row>
    <row r="16" spans="1:11" ht="25.5">
      <c r="A16" s="8" t="s">
        <v>325</v>
      </c>
      <c r="B16" s="1" t="s">
        <v>326</v>
      </c>
      <c r="C16" s="1" t="s">
        <v>0</v>
      </c>
      <c r="D16" s="9">
        <f>D17</f>
        <v>2795.6</v>
      </c>
      <c r="E16" s="9">
        <f>E17</f>
        <v>2795.6</v>
      </c>
      <c r="F16" s="9">
        <f t="shared" ref="F16:G17" si="6">F17</f>
        <v>1830.2421899999999</v>
      </c>
      <c r="G16" s="9">
        <f t="shared" si="6"/>
        <v>1830.2421899999999</v>
      </c>
      <c r="H16" s="9">
        <f>H17</f>
        <v>1830.2421899999999</v>
      </c>
      <c r="I16" s="9">
        <f t="shared" si="2"/>
        <v>65.468671841465166</v>
      </c>
      <c r="J16" s="9">
        <f t="shared" si="3"/>
        <v>100</v>
      </c>
    </row>
    <row r="17" spans="1:10" ht="25.5">
      <c r="A17" s="8" t="s">
        <v>64</v>
      </c>
      <c r="B17" s="1" t="s">
        <v>326</v>
      </c>
      <c r="C17" s="1" t="s">
        <v>65</v>
      </c>
      <c r="D17" s="9">
        <f>D18</f>
        <v>2795.6</v>
      </c>
      <c r="E17" s="9">
        <f>E18</f>
        <v>2795.6</v>
      </c>
      <c r="F17" s="9">
        <f t="shared" si="6"/>
        <v>1830.2421899999999</v>
      </c>
      <c r="G17" s="9">
        <f t="shared" si="6"/>
        <v>1830.2421899999999</v>
      </c>
      <c r="H17" s="9">
        <f>H18</f>
        <v>1830.2421899999999</v>
      </c>
      <c r="I17" s="9">
        <f t="shared" si="2"/>
        <v>65.468671841465166</v>
      </c>
      <c r="J17" s="9">
        <f t="shared" si="3"/>
        <v>100</v>
      </c>
    </row>
    <row r="18" spans="1:10" ht="25.5">
      <c r="A18" s="8" t="s">
        <v>66</v>
      </c>
      <c r="B18" s="1" t="s">
        <v>326</v>
      </c>
      <c r="C18" s="1" t="s">
        <v>67</v>
      </c>
      <c r="D18" s="9">
        <f>ведомство!G643</f>
        <v>2795.6</v>
      </c>
      <c r="E18" s="9">
        <f>ведомство!H643</f>
        <v>2795.6</v>
      </c>
      <c r="F18" s="9">
        <f>ведомство!I643</f>
        <v>1830.2421899999999</v>
      </c>
      <c r="G18" s="9">
        <f>ведомство!J643</f>
        <v>1830.2421899999999</v>
      </c>
      <c r="H18" s="9">
        <f>ведомство!K643</f>
        <v>1830.2421899999999</v>
      </c>
      <c r="I18" s="9">
        <f t="shared" si="2"/>
        <v>65.468671841465166</v>
      </c>
      <c r="J18" s="9">
        <f t="shared" si="3"/>
        <v>100</v>
      </c>
    </row>
    <row r="19" spans="1:10" s="91" customFormat="1" ht="25.5">
      <c r="A19" s="59" t="s">
        <v>291</v>
      </c>
      <c r="B19" s="29" t="s">
        <v>1258</v>
      </c>
      <c r="C19" s="58"/>
      <c r="D19" s="9">
        <v>0</v>
      </c>
      <c r="E19" s="9">
        <f>E20</f>
        <v>6502.1</v>
      </c>
      <c r="F19" s="9">
        <f t="shared" ref="F19:G20" si="7">F20</f>
        <v>0</v>
      </c>
      <c r="G19" s="9">
        <f t="shared" si="7"/>
        <v>0</v>
      </c>
      <c r="H19" s="9">
        <f>H20</f>
        <v>0</v>
      </c>
      <c r="I19" s="9">
        <f t="shared" ref="I19:I21" si="8">H19/E19*100</f>
        <v>0</v>
      </c>
      <c r="J19" s="9">
        <v>0</v>
      </c>
    </row>
    <row r="20" spans="1:10" s="91" customFormat="1" ht="25.5">
      <c r="A20" s="59" t="s">
        <v>80</v>
      </c>
      <c r="B20" s="29" t="s">
        <v>1258</v>
      </c>
      <c r="C20" s="28" t="s">
        <v>81</v>
      </c>
      <c r="D20" s="9">
        <v>0</v>
      </c>
      <c r="E20" s="9">
        <f>E21</f>
        <v>6502.1</v>
      </c>
      <c r="F20" s="9">
        <f t="shared" si="7"/>
        <v>0</v>
      </c>
      <c r="G20" s="9">
        <f t="shared" si="7"/>
        <v>0</v>
      </c>
      <c r="H20" s="9">
        <f>H21</f>
        <v>0</v>
      </c>
      <c r="I20" s="9">
        <f t="shared" si="8"/>
        <v>0</v>
      </c>
      <c r="J20" s="9">
        <v>0</v>
      </c>
    </row>
    <row r="21" spans="1:10" s="91" customFormat="1">
      <c r="A21" s="59" t="s">
        <v>271</v>
      </c>
      <c r="B21" s="29" t="s">
        <v>1258</v>
      </c>
      <c r="C21" s="28" t="s">
        <v>272</v>
      </c>
      <c r="D21" s="9">
        <v>0</v>
      </c>
      <c r="E21" s="9">
        <f>ведомство!H569</f>
        <v>6502.1</v>
      </c>
      <c r="F21" s="9">
        <f>ведомство!I569</f>
        <v>0</v>
      </c>
      <c r="G21" s="9">
        <f>ведомство!J569</f>
        <v>0</v>
      </c>
      <c r="H21" s="9">
        <f>ведомство!K569</f>
        <v>0</v>
      </c>
      <c r="I21" s="9">
        <f t="shared" si="8"/>
        <v>0</v>
      </c>
      <c r="J21" s="9">
        <v>0</v>
      </c>
    </row>
    <row r="22" spans="1:10" ht="25.5">
      <c r="A22" s="8" t="s">
        <v>76</v>
      </c>
      <c r="B22" s="1" t="s">
        <v>308</v>
      </c>
      <c r="C22" s="1" t="s">
        <v>0</v>
      </c>
      <c r="D22" s="9">
        <f>D23</f>
        <v>64993.2</v>
      </c>
      <c r="E22" s="9">
        <f>E23</f>
        <v>64993.2</v>
      </c>
      <c r="F22" s="9">
        <f t="shared" ref="F22:G23" si="9">F23</f>
        <v>41289.5</v>
      </c>
      <c r="G22" s="9">
        <f t="shared" si="9"/>
        <v>41289.5</v>
      </c>
      <c r="H22" s="9">
        <f>H23</f>
        <v>41289.5</v>
      </c>
      <c r="I22" s="9">
        <f t="shared" si="2"/>
        <v>63.528953798243514</v>
      </c>
      <c r="J22" s="9">
        <f t="shared" si="3"/>
        <v>100</v>
      </c>
    </row>
    <row r="23" spans="1:10" ht="25.5">
      <c r="A23" s="8" t="s">
        <v>80</v>
      </c>
      <c r="B23" s="1" t="s">
        <v>308</v>
      </c>
      <c r="C23" s="1" t="s">
        <v>81</v>
      </c>
      <c r="D23" s="9">
        <f>D24</f>
        <v>64993.2</v>
      </c>
      <c r="E23" s="9">
        <f>E24</f>
        <v>64993.2</v>
      </c>
      <c r="F23" s="9">
        <f t="shared" si="9"/>
        <v>41289.5</v>
      </c>
      <c r="G23" s="9">
        <f t="shared" si="9"/>
        <v>41289.5</v>
      </c>
      <c r="H23" s="9">
        <f>H24</f>
        <v>41289.5</v>
      </c>
      <c r="I23" s="9">
        <f t="shared" si="2"/>
        <v>63.528953798243514</v>
      </c>
      <c r="J23" s="9">
        <f t="shared" si="3"/>
        <v>100</v>
      </c>
    </row>
    <row r="24" spans="1:10">
      <c r="A24" s="8" t="s">
        <v>271</v>
      </c>
      <c r="B24" s="1" t="s">
        <v>308</v>
      </c>
      <c r="C24" s="1" t="s">
        <v>272</v>
      </c>
      <c r="D24" s="9">
        <f>ведомство!G572</f>
        <v>64993.2</v>
      </c>
      <c r="E24" s="9">
        <f>ведомство!H572</f>
        <v>64993.2</v>
      </c>
      <c r="F24" s="9">
        <f>ведомство!I572</f>
        <v>41289.5</v>
      </c>
      <c r="G24" s="9">
        <f>ведомство!J572</f>
        <v>41289.5</v>
      </c>
      <c r="H24" s="9">
        <f>ведомство!K572</f>
        <v>41289.5</v>
      </c>
      <c r="I24" s="9">
        <f t="shared" si="2"/>
        <v>63.528953798243514</v>
      </c>
      <c r="J24" s="9">
        <f t="shared" si="3"/>
        <v>100</v>
      </c>
    </row>
    <row r="25" spans="1:10">
      <c r="A25" s="8" t="s">
        <v>303</v>
      </c>
      <c r="B25" s="1" t="s">
        <v>327</v>
      </c>
      <c r="C25" s="1" t="s">
        <v>0</v>
      </c>
      <c r="D25" s="9">
        <f>D26</f>
        <v>580</v>
      </c>
      <c r="E25" s="9">
        <f>E26</f>
        <v>580</v>
      </c>
      <c r="F25" s="9">
        <f t="shared" ref="F25:G26" si="10">F26</f>
        <v>580</v>
      </c>
      <c r="G25" s="9">
        <f t="shared" si="10"/>
        <v>580</v>
      </c>
      <c r="H25" s="9">
        <f>H26</f>
        <v>546.94500000000005</v>
      </c>
      <c r="I25" s="9">
        <f t="shared" si="2"/>
        <v>94.300862068965529</v>
      </c>
      <c r="J25" s="9">
        <f t="shared" si="3"/>
        <v>94.300862068965529</v>
      </c>
    </row>
    <row r="26" spans="1:10" ht="25.5">
      <c r="A26" s="8" t="s">
        <v>64</v>
      </c>
      <c r="B26" s="1" t="s">
        <v>327</v>
      </c>
      <c r="C26" s="1" t="s">
        <v>65</v>
      </c>
      <c r="D26" s="9">
        <f>D27</f>
        <v>580</v>
      </c>
      <c r="E26" s="9">
        <f>E27</f>
        <v>580</v>
      </c>
      <c r="F26" s="9">
        <f t="shared" si="10"/>
        <v>580</v>
      </c>
      <c r="G26" s="9">
        <f t="shared" si="10"/>
        <v>580</v>
      </c>
      <c r="H26" s="9">
        <f>H27</f>
        <v>546.94500000000005</v>
      </c>
      <c r="I26" s="9">
        <f t="shared" si="2"/>
        <v>94.300862068965529</v>
      </c>
      <c r="J26" s="9">
        <f t="shared" si="3"/>
        <v>94.300862068965529</v>
      </c>
    </row>
    <row r="27" spans="1:10" ht="25.5">
      <c r="A27" s="8" t="s">
        <v>66</v>
      </c>
      <c r="B27" s="1" t="s">
        <v>327</v>
      </c>
      <c r="C27" s="1" t="s">
        <v>67</v>
      </c>
      <c r="D27" s="9">
        <f>ведомство!G646</f>
        <v>580</v>
      </c>
      <c r="E27" s="9">
        <f>ведомство!H646</f>
        <v>580</v>
      </c>
      <c r="F27" s="9">
        <f>ведомство!I646</f>
        <v>580</v>
      </c>
      <c r="G27" s="9">
        <f>ведомство!J646</f>
        <v>580</v>
      </c>
      <c r="H27" s="9">
        <f>ведомство!K646</f>
        <v>546.94500000000005</v>
      </c>
      <c r="I27" s="9">
        <f t="shared" si="2"/>
        <v>94.300862068965529</v>
      </c>
      <c r="J27" s="9">
        <f t="shared" si="3"/>
        <v>94.300862068965529</v>
      </c>
    </row>
    <row r="28" spans="1:10" s="91" customFormat="1" ht="38.25">
      <c r="A28" s="59" t="s">
        <v>1234</v>
      </c>
      <c r="B28" s="29" t="s">
        <v>1259</v>
      </c>
      <c r="C28" s="28"/>
      <c r="D28" s="9">
        <v>0</v>
      </c>
      <c r="E28" s="9">
        <f>E29</f>
        <v>1321.51614</v>
      </c>
      <c r="F28" s="9">
        <f t="shared" ref="F28:G29" si="11">F29</f>
        <v>0</v>
      </c>
      <c r="G28" s="9">
        <f t="shared" si="11"/>
        <v>0</v>
      </c>
      <c r="H28" s="9">
        <f>H29</f>
        <v>0</v>
      </c>
      <c r="I28" s="9">
        <f t="shared" ref="I28:I30" si="12">H28/E28*100</f>
        <v>0</v>
      </c>
      <c r="J28" s="9">
        <v>0</v>
      </c>
    </row>
    <row r="29" spans="1:10" s="91" customFormat="1" ht="25.5">
      <c r="A29" s="59" t="s">
        <v>80</v>
      </c>
      <c r="B29" s="29" t="s">
        <v>1259</v>
      </c>
      <c r="C29" s="28" t="s">
        <v>81</v>
      </c>
      <c r="D29" s="9">
        <v>0</v>
      </c>
      <c r="E29" s="9">
        <f>E30</f>
        <v>1321.51614</v>
      </c>
      <c r="F29" s="9">
        <f t="shared" si="11"/>
        <v>0</v>
      </c>
      <c r="G29" s="9">
        <f t="shared" si="11"/>
        <v>0</v>
      </c>
      <c r="H29" s="9">
        <f>H30</f>
        <v>0</v>
      </c>
      <c r="I29" s="9">
        <f t="shared" si="12"/>
        <v>0</v>
      </c>
      <c r="J29" s="9">
        <v>0</v>
      </c>
    </row>
    <row r="30" spans="1:10" s="91" customFormat="1">
      <c r="A30" s="59" t="s">
        <v>271</v>
      </c>
      <c r="B30" s="29" t="s">
        <v>1259</v>
      </c>
      <c r="C30" s="28" t="s">
        <v>272</v>
      </c>
      <c r="D30" s="9">
        <v>0</v>
      </c>
      <c r="E30" s="9">
        <f>ведомство!H575</f>
        <v>1321.51614</v>
      </c>
      <c r="F30" s="9">
        <f>ведомство!I575</f>
        <v>0</v>
      </c>
      <c r="G30" s="9">
        <f>ведомство!J575</f>
        <v>0</v>
      </c>
      <c r="H30" s="9">
        <f>ведомство!K575</f>
        <v>0</v>
      </c>
      <c r="I30" s="9">
        <f t="shared" si="12"/>
        <v>0</v>
      </c>
      <c r="J30" s="9">
        <v>0</v>
      </c>
    </row>
    <row r="31" spans="1:10">
      <c r="A31" s="4" t="s">
        <v>0</v>
      </c>
      <c r="B31" s="17" t="s">
        <v>0</v>
      </c>
      <c r="C31" s="5" t="s">
        <v>0</v>
      </c>
      <c r="D31" s="7" t="s">
        <v>0</v>
      </c>
      <c r="E31" s="7" t="s">
        <v>0</v>
      </c>
      <c r="F31" s="7" t="s">
        <v>0</v>
      </c>
      <c r="G31" s="7" t="s">
        <v>0</v>
      </c>
      <c r="H31" s="7" t="s">
        <v>0</v>
      </c>
      <c r="I31" s="7"/>
      <c r="J31" s="7"/>
    </row>
    <row r="32" spans="1:10" ht="63.75">
      <c r="A32" s="4" t="s">
        <v>289</v>
      </c>
      <c r="B32" s="5" t="s">
        <v>290</v>
      </c>
      <c r="C32" s="5" t="s">
        <v>0</v>
      </c>
      <c r="D32" s="7">
        <f>D33+D40+D44+D52+D49</f>
        <v>2296346.1999999997</v>
      </c>
      <c r="E32" s="7">
        <f>E33+E40+E44+E52+E49+E36</f>
        <v>2323793.1838599998</v>
      </c>
      <c r="F32" s="7">
        <f t="shared" ref="F32:G32" si="13">F33+F40+F44+F52+F49+F36</f>
        <v>1572093.7858599999</v>
      </c>
      <c r="G32" s="7">
        <f t="shared" si="13"/>
        <v>1572093.7858599999</v>
      </c>
      <c r="H32" s="7">
        <f>H33+H40+H44+H52+H49+H36</f>
        <v>1572093.7858599999</v>
      </c>
      <c r="I32" s="7">
        <f t="shared" si="2"/>
        <v>67.652052548352472</v>
      </c>
      <c r="J32" s="7">
        <f t="shared" si="3"/>
        <v>100</v>
      </c>
    </row>
    <row r="33" spans="1:10" ht="25.5">
      <c r="A33" s="8" t="s">
        <v>291</v>
      </c>
      <c r="B33" s="1" t="s">
        <v>292</v>
      </c>
      <c r="C33" s="1" t="s">
        <v>0</v>
      </c>
      <c r="D33" s="9">
        <f>D34</f>
        <v>6502.1</v>
      </c>
      <c r="E33" s="9">
        <f>E34</f>
        <v>0</v>
      </c>
      <c r="F33" s="9">
        <f t="shared" ref="F33:G34" si="14">F34</f>
        <v>0</v>
      </c>
      <c r="G33" s="9">
        <f t="shared" si="14"/>
        <v>0</v>
      </c>
      <c r="H33" s="9">
        <f>H34</f>
        <v>0</v>
      </c>
      <c r="I33" s="9">
        <v>0</v>
      </c>
      <c r="J33" s="9">
        <v>0</v>
      </c>
    </row>
    <row r="34" spans="1:10" ht="25.5">
      <c r="A34" s="8" t="s">
        <v>80</v>
      </c>
      <c r="B34" s="1" t="s">
        <v>292</v>
      </c>
      <c r="C34" s="1" t="s">
        <v>81</v>
      </c>
      <c r="D34" s="9">
        <f>D35</f>
        <v>6502.1</v>
      </c>
      <c r="E34" s="9">
        <f>E35</f>
        <v>0</v>
      </c>
      <c r="F34" s="9">
        <f t="shared" si="14"/>
        <v>0</v>
      </c>
      <c r="G34" s="9">
        <f t="shared" si="14"/>
        <v>0</v>
      </c>
      <c r="H34" s="9">
        <f>H35</f>
        <v>0</v>
      </c>
      <c r="I34" s="9">
        <v>0</v>
      </c>
      <c r="J34" s="9">
        <v>0</v>
      </c>
    </row>
    <row r="35" spans="1:10">
      <c r="A35" s="8" t="s">
        <v>271</v>
      </c>
      <c r="B35" s="1" t="s">
        <v>292</v>
      </c>
      <c r="C35" s="1" t="s">
        <v>272</v>
      </c>
      <c r="D35" s="9">
        <f>ведомство!G525+ведомство!G579</f>
        <v>6502.1</v>
      </c>
      <c r="E35" s="9">
        <f>ведомство!H525+ведомство!H579</f>
        <v>0</v>
      </c>
      <c r="F35" s="9">
        <f>ведомство!I525+ведомство!I579</f>
        <v>0</v>
      </c>
      <c r="G35" s="9">
        <f>ведомство!J525+ведомство!J579</f>
        <v>0</v>
      </c>
      <c r="H35" s="9">
        <f>ведомство!K525+ведомство!K579</f>
        <v>0</v>
      </c>
      <c r="I35" s="9">
        <v>0</v>
      </c>
      <c r="J35" s="9">
        <v>0</v>
      </c>
    </row>
    <row r="36" spans="1:10" s="91" customFormat="1" ht="51">
      <c r="A36" s="76" t="s">
        <v>1254</v>
      </c>
      <c r="B36" s="77" t="s">
        <v>1253</v>
      </c>
      <c r="C36" s="28"/>
      <c r="D36" s="9">
        <v>0</v>
      </c>
      <c r="E36" s="9">
        <f>E37</f>
        <v>42688</v>
      </c>
      <c r="F36" s="9">
        <f t="shared" ref="F36:G36" si="15">F37</f>
        <v>17408.7</v>
      </c>
      <c r="G36" s="9">
        <f t="shared" si="15"/>
        <v>17408.7</v>
      </c>
      <c r="H36" s="9">
        <f>H37</f>
        <v>17408.7</v>
      </c>
      <c r="I36" s="9">
        <f t="shared" ref="I36:I39" si="16">H36/E36*100</f>
        <v>40.78125</v>
      </c>
      <c r="J36" s="9">
        <f t="shared" si="3"/>
        <v>100</v>
      </c>
    </row>
    <row r="37" spans="1:10" s="91" customFormat="1" ht="25.5">
      <c r="A37" s="59" t="s">
        <v>80</v>
      </c>
      <c r="B37" s="77" t="s">
        <v>1253</v>
      </c>
      <c r="C37" s="28">
        <v>600</v>
      </c>
      <c r="D37" s="9">
        <v>0</v>
      </c>
      <c r="E37" s="9">
        <f>E38+E39</f>
        <v>42688</v>
      </c>
      <c r="F37" s="9">
        <f t="shared" ref="F37:G37" si="17">F38+F39</f>
        <v>17408.7</v>
      </c>
      <c r="G37" s="9">
        <f t="shared" si="17"/>
        <v>17408.7</v>
      </c>
      <c r="H37" s="9">
        <f>H38+H39</f>
        <v>17408.7</v>
      </c>
      <c r="I37" s="9">
        <f t="shared" si="16"/>
        <v>40.78125</v>
      </c>
      <c r="J37" s="9">
        <f t="shared" si="3"/>
        <v>100</v>
      </c>
    </row>
    <row r="38" spans="1:10" s="91" customFormat="1">
      <c r="A38" s="59" t="s">
        <v>271</v>
      </c>
      <c r="B38" s="77" t="s">
        <v>1253</v>
      </c>
      <c r="C38" s="28">
        <v>610</v>
      </c>
      <c r="D38" s="9">
        <v>0</v>
      </c>
      <c r="E38" s="9">
        <f>ведомство!H528</f>
        <v>41932.123659999997</v>
      </c>
      <c r="F38" s="9">
        <f>ведомство!I528</f>
        <v>16948.7</v>
      </c>
      <c r="G38" s="9">
        <f>ведомство!J528</f>
        <v>16948.7</v>
      </c>
      <c r="H38" s="9">
        <f>ведомство!K528</f>
        <v>16948.7</v>
      </c>
      <c r="I38" s="9">
        <f t="shared" si="16"/>
        <v>40.419369496822668</v>
      </c>
      <c r="J38" s="9">
        <f t="shared" si="3"/>
        <v>100</v>
      </c>
    </row>
    <row r="39" spans="1:10" s="91" customFormat="1">
      <c r="A39" s="59" t="s">
        <v>82</v>
      </c>
      <c r="B39" s="77" t="s">
        <v>1253</v>
      </c>
      <c r="C39" s="28">
        <v>620</v>
      </c>
      <c r="D39" s="9">
        <v>0</v>
      </c>
      <c r="E39" s="9">
        <f>ведомство!H529</f>
        <v>755.87634000000003</v>
      </c>
      <c r="F39" s="9">
        <f>ведомство!I529</f>
        <v>460</v>
      </c>
      <c r="G39" s="9">
        <f>ведомство!J529</f>
        <v>460</v>
      </c>
      <c r="H39" s="9">
        <f>ведомство!K529</f>
        <v>460</v>
      </c>
      <c r="I39" s="9">
        <f t="shared" si="16"/>
        <v>60.856515233695497</v>
      </c>
      <c r="J39" s="9">
        <f t="shared" si="3"/>
        <v>100</v>
      </c>
    </row>
    <row r="40" spans="1:10" ht="25.5">
      <c r="A40" s="8" t="s">
        <v>76</v>
      </c>
      <c r="B40" s="1" t="s">
        <v>293</v>
      </c>
      <c r="C40" s="1" t="s">
        <v>0</v>
      </c>
      <c r="D40" s="9">
        <f>D41</f>
        <v>2114257</v>
      </c>
      <c r="E40" s="9">
        <f>E41</f>
        <v>2106839.6</v>
      </c>
      <c r="F40" s="9">
        <f t="shared" ref="F40:G40" si="18">F41</f>
        <v>1424525.402</v>
      </c>
      <c r="G40" s="9">
        <f t="shared" si="18"/>
        <v>1424525.402</v>
      </c>
      <c r="H40" s="9">
        <f>H41</f>
        <v>1424525.402</v>
      </c>
      <c r="I40" s="9">
        <f t="shared" si="2"/>
        <v>67.614326311314827</v>
      </c>
      <c r="J40" s="9">
        <f t="shared" si="3"/>
        <v>100</v>
      </c>
    </row>
    <row r="41" spans="1:10" ht="25.5">
      <c r="A41" s="8" t="s">
        <v>80</v>
      </c>
      <c r="B41" s="1" t="s">
        <v>293</v>
      </c>
      <c r="C41" s="1" t="s">
        <v>81</v>
      </c>
      <c r="D41" s="9">
        <f>D42+D43</f>
        <v>2114257</v>
      </c>
      <c r="E41" s="9">
        <f>E42+E43</f>
        <v>2106839.6</v>
      </c>
      <c r="F41" s="9">
        <f t="shared" ref="F41:G41" si="19">F42+F43</f>
        <v>1424525.402</v>
      </c>
      <c r="G41" s="9">
        <f t="shared" si="19"/>
        <v>1424525.402</v>
      </c>
      <c r="H41" s="9">
        <f>H42+H43</f>
        <v>1424525.402</v>
      </c>
      <c r="I41" s="9">
        <f t="shared" si="2"/>
        <v>67.614326311314827</v>
      </c>
      <c r="J41" s="9">
        <f t="shared" si="3"/>
        <v>100</v>
      </c>
    </row>
    <row r="42" spans="1:10">
      <c r="A42" s="8" t="s">
        <v>271</v>
      </c>
      <c r="B42" s="1" t="s">
        <v>293</v>
      </c>
      <c r="C42" s="1" t="s">
        <v>272</v>
      </c>
      <c r="D42" s="9">
        <f>ведомство!G532+ведомство!G582+ведомство!G618+ведомство!G650+ведомство!G634</f>
        <v>2082054.9000000001</v>
      </c>
      <c r="E42" s="9">
        <f>ведомство!H532+ведомство!H582+ведомство!H618+ведомство!H650+ведомство!H634</f>
        <v>2074637.5</v>
      </c>
      <c r="F42" s="9">
        <f>ведомство!I532+ведомство!I582+ведомство!I618+ведомство!I650+ведомство!I634</f>
        <v>1401256.5020000001</v>
      </c>
      <c r="G42" s="9">
        <f>ведомство!J532+ведомство!J582+ведомство!J618+ведомство!J650+ведомство!J634</f>
        <v>1401256.5020000001</v>
      </c>
      <c r="H42" s="9">
        <f>ведомство!K532+ведомство!K582+ведомство!K618+ведомство!K650+ведомство!K634</f>
        <v>1401256.5020000001</v>
      </c>
      <c r="I42" s="9">
        <f t="shared" si="2"/>
        <v>67.542233378120272</v>
      </c>
      <c r="J42" s="9">
        <f t="shared" si="3"/>
        <v>100</v>
      </c>
    </row>
    <row r="43" spans="1:10">
      <c r="A43" s="8" t="s">
        <v>82</v>
      </c>
      <c r="B43" s="1" t="s">
        <v>293</v>
      </c>
      <c r="C43" s="1" t="s">
        <v>83</v>
      </c>
      <c r="D43" s="9">
        <f>ведомство!G533</f>
        <v>32202.1</v>
      </c>
      <c r="E43" s="9">
        <f>ведомство!H533</f>
        <v>32202.1</v>
      </c>
      <c r="F43" s="9">
        <f>ведомство!I533</f>
        <v>23268.9</v>
      </c>
      <c r="G43" s="9">
        <f>ведомство!J533</f>
        <v>23268.9</v>
      </c>
      <c r="H43" s="9">
        <f>ведомство!K533</f>
        <v>23268.9</v>
      </c>
      <c r="I43" s="9">
        <f t="shared" si="2"/>
        <v>72.258952055921824</v>
      </c>
      <c r="J43" s="9">
        <f t="shared" si="3"/>
        <v>100</v>
      </c>
    </row>
    <row r="44" spans="1:10">
      <c r="A44" s="8" t="s">
        <v>303</v>
      </c>
      <c r="B44" s="1" t="s">
        <v>316</v>
      </c>
      <c r="C44" s="1" t="s">
        <v>0</v>
      </c>
      <c r="D44" s="9">
        <f>D45+D47</f>
        <v>1357.3</v>
      </c>
      <c r="E44" s="9">
        <f>E45+E47</f>
        <v>1357.28386</v>
      </c>
      <c r="F44" s="9">
        <f t="shared" ref="F44:G44" si="20">F45+F47</f>
        <v>478.48385999999999</v>
      </c>
      <c r="G44" s="9">
        <f t="shared" si="20"/>
        <v>478.48385999999999</v>
      </c>
      <c r="H44" s="9">
        <f>H45+H47</f>
        <v>478.48385999999999</v>
      </c>
      <c r="I44" s="9">
        <f t="shared" si="2"/>
        <v>35.25304279386333</v>
      </c>
      <c r="J44" s="9">
        <f t="shared" si="3"/>
        <v>100</v>
      </c>
    </row>
    <row r="45" spans="1:10" ht="25.5">
      <c r="A45" s="8" t="s">
        <v>64</v>
      </c>
      <c r="B45" s="1" t="s">
        <v>316</v>
      </c>
      <c r="C45" s="1" t="s">
        <v>65</v>
      </c>
      <c r="D45" s="9">
        <f>D46</f>
        <v>478.5</v>
      </c>
      <c r="E45" s="9">
        <f>E46</f>
        <v>478.48385999999999</v>
      </c>
      <c r="F45" s="9">
        <f t="shared" ref="F45:G45" si="21">F46</f>
        <v>478.48385999999999</v>
      </c>
      <c r="G45" s="9">
        <f t="shared" si="21"/>
        <v>478.48385999999999</v>
      </c>
      <c r="H45" s="9">
        <f>H46</f>
        <v>478.48385999999999</v>
      </c>
      <c r="I45" s="9">
        <f t="shared" si="2"/>
        <v>100</v>
      </c>
      <c r="J45" s="9">
        <f t="shared" si="3"/>
        <v>100</v>
      </c>
    </row>
    <row r="46" spans="1:10" ht="25.5">
      <c r="A46" s="8" t="s">
        <v>66</v>
      </c>
      <c r="B46" s="1" t="s">
        <v>316</v>
      </c>
      <c r="C46" s="1" t="s">
        <v>67</v>
      </c>
      <c r="D46" s="9">
        <f>ведомство!G653</f>
        <v>478.5</v>
      </c>
      <c r="E46" s="9">
        <f>ведомство!H653</f>
        <v>478.48385999999999</v>
      </c>
      <c r="F46" s="9">
        <f>ведомство!I653</f>
        <v>478.48385999999999</v>
      </c>
      <c r="G46" s="9">
        <f>ведомство!J653</f>
        <v>478.48385999999999</v>
      </c>
      <c r="H46" s="9">
        <f>ведомство!K653</f>
        <v>478.48385999999999</v>
      </c>
      <c r="I46" s="9">
        <f t="shared" si="2"/>
        <v>100</v>
      </c>
      <c r="J46" s="9">
        <f t="shared" si="3"/>
        <v>100</v>
      </c>
    </row>
    <row r="47" spans="1:10">
      <c r="A47" s="8" t="s">
        <v>72</v>
      </c>
      <c r="B47" s="1" t="s">
        <v>316</v>
      </c>
      <c r="C47" s="1" t="s">
        <v>73</v>
      </c>
      <c r="D47" s="9">
        <f>D48</f>
        <v>878.8</v>
      </c>
      <c r="E47" s="9">
        <f>E48</f>
        <v>878.8</v>
      </c>
      <c r="F47" s="9">
        <f t="shared" ref="F47:G47" si="22">F48</f>
        <v>0</v>
      </c>
      <c r="G47" s="9">
        <f t="shared" si="22"/>
        <v>0</v>
      </c>
      <c r="H47" s="9">
        <f>H48</f>
        <v>0</v>
      </c>
      <c r="I47" s="9">
        <f t="shared" si="2"/>
        <v>0</v>
      </c>
      <c r="J47" s="9">
        <v>0</v>
      </c>
    </row>
    <row r="48" spans="1:10" ht="38.25">
      <c r="A48" s="8" t="s">
        <v>218</v>
      </c>
      <c r="B48" s="1" t="s">
        <v>316</v>
      </c>
      <c r="C48" s="1" t="s">
        <v>219</v>
      </c>
      <c r="D48" s="9">
        <f>ведомство!G621</f>
        <v>878.8</v>
      </c>
      <c r="E48" s="9">
        <f>ведомство!H621</f>
        <v>878.8</v>
      </c>
      <c r="F48" s="9">
        <f>ведомство!I621</f>
        <v>0</v>
      </c>
      <c r="G48" s="9">
        <f>ведомство!J621</f>
        <v>0</v>
      </c>
      <c r="H48" s="9">
        <f>ведомство!K621</f>
        <v>0</v>
      </c>
      <c r="I48" s="9">
        <f t="shared" si="2"/>
        <v>0</v>
      </c>
      <c r="J48" s="9">
        <v>0</v>
      </c>
    </row>
    <row r="49" spans="1:10" s="88" customFormat="1" ht="38.25">
      <c r="A49" s="62" t="s">
        <v>1234</v>
      </c>
      <c r="B49" s="29" t="s">
        <v>1233</v>
      </c>
      <c r="C49" s="28"/>
      <c r="D49" s="9">
        <f>D50</f>
        <v>1321.5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</row>
    <row r="50" spans="1:10" s="88" customFormat="1" ht="25.5">
      <c r="A50" s="59" t="s">
        <v>80</v>
      </c>
      <c r="B50" s="29" t="s">
        <v>1233</v>
      </c>
      <c r="C50" s="28">
        <v>600</v>
      </c>
      <c r="D50" s="9">
        <f>D51</f>
        <v>1321.5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</row>
    <row r="51" spans="1:10" s="88" customFormat="1">
      <c r="A51" s="59" t="s">
        <v>271</v>
      </c>
      <c r="B51" s="29" t="s">
        <v>1233</v>
      </c>
      <c r="C51" s="28">
        <v>610</v>
      </c>
      <c r="D51" s="9">
        <f>ведомство!G585</f>
        <v>1321.5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</row>
    <row r="52" spans="1:10" ht="51">
      <c r="A52" s="8" t="s">
        <v>294</v>
      </c>
      <c r="B52" s="1" t="s">
        <v>295</v>
      </c>
      <c r="C52" s="1" t="s">
        <v>0</v>
      </c>
      <c r="D52" s="9">
        <f>D53</f>
        <v>172908.3</v>
      </c>
      <c r="E52" s="9">
        <f>E53</f>
        <v>172908.3</v>
      </c>
      <c r="F52" s="9">
        <f t="shared" ref="F52:G53" si="23">F53</f>
        <v>129681.2</v>
      </c>
      <c r="G52" s="9">
        <f t="shared" si="23"/>
        <v>129681.2</v>
      </c>
      <c r="H52" s="9">
        <f>H53</f>
        <v>129681.2</v>
      </c>
      <c r="I52" s="9">
        <f t="shared" si="2"/>
        <v>74.999985541469101</v>
      </c>
      <c r="J52" s="9">
        <f t="shared" si="3"/>
        <v>100</v>
      </c>
    </row>
    <row r="53" spans="1:10" ht="25.5">
      <c r="A53" s="8" t="s">
        <v>80</v>
      </c>
      <c r="B53" s="1" t="s">
        <v>295</v>
      </c>
      <c r="C53" s="1" t="s">
        <v>81</v>
      </c>
      <c r="D53" s="9">
        <f>D54</f>
        <v>172908.3</v>
      </c>
      <c r="E53" s="9">
        <f>E54</f>
        <v>172908.3</v>
      </c>
      <c r="F53" s="9">
        <f t="shared" si="23"/>
        <v>129681.2</v>
      </c>
      <c r="G53" s="9">
        <f t="shared" si="23"/>
        <v>129681.2</v>
      </c>
      <c r="H53" s="9">
        <f>H54</f>
        <v>129681.2</v>
      </c>
      <c r="I53" s="9">
        <f t="shared" si="2"/>
        <v>74.999985541469101</v>
      </c>
      <c r="J53" s="9">
        <f t="shared" si="3"/>
        <v>100</v>
      </c>
    </row>
    <row r="54" spans="1:10">
      <c r="A54" s="8" t="s">
        <v>271</v>
      </c>
      <c r="B54" s="1" t="s">
        <v>295</v>
      </c>
      <c r="C54" s="1" t="s">
        <v>272</v>
      </c>
      <c r="D54" s="9">
        <f>ведомство!G536</f>
        <v>172908.3</v>
      </c>
      <c r="E54" s="9">
        <f>ведомство!H536</f>
        <v>172908.3</v>
      </c>
      <c r="F54" s="9">
        <f>ведомство!I536</f>
        <v>129681.2</v>
      </c>
      <c r="G54" s="9">
        <f>ведомство!J536</f>
        <v>129681.2</v>
      </c>
      <c r="H54" s="9">
        <f>ведомство!K536</f>
        <v>129681.2</v>
      </c>
      <c r="I54" s="9">
        <f t="shared" si="2"/>
        <v>74.999985541469101</v>
      </c>
      <c r="J54" s="9">
        <f t="shared" si="3"/>
        <v>100</v>
      </c>
    </row>
    <row r="55" spans="1:10">
      <c r="A55" s="4" t="s">
        <v>0</v>
      </c>
      <c r="B55" s="17" t="s">
        <v>0</v>
      </c>
      <c r="C55" s="5" t="s">
        <v>0</v>
      </c>
      <c r="D55" s="7" t="s">
        <v>0</v>
      </c>
      <c r="E55" s="7" t="s">
        <v>0</v>
      </c>
      <c r="F55" s="7" t="s">
        <v>0</v>
      </c>
      <c r="G55" s="7" t="s">
        <v>0</v>
      </c>
      <c r="H55" s="7" t="s">
        <v>0</v>
      </c>
      <c r="I55" s="7"/>
      <c r="J55" s="7"/>
    </row>
    <row r="56" spans="1:10">
      <c r="A56" s="4" t="s">
        <v>328</v>
      </c>
      <c r="B56" s="5" t="s">
        <v>329</v>
      </c>
      <c r="C56" s="5" t="s">
        <v>0</v>
      </c>
      <c r="D56" s="7">
        <f>D57+D68</f>
        <v>307214.5</v>
      </c>
      <c r="E56" s="7">
        <f>E57+E68</f>
        <v>307214.5</v>
      </c>
      <c r="F56" s="7">
        <f t="shared" ref="F56:G56" si="24">F57+F68</f>
        <v>217346.62149999998</v>
      </c>
      <c r="G56" s="7">
        <f t="shared" si="24"/>
        <v>217346.62149999998</v>
      </c>
      <c r="H56" s="7">
        <f>H57+H68</f>
        <v>215405.50430999999</v>
      </c>
      <c r="I56" s="7">
        <f t="shared" si="2"/>
        <v>70.115669771446335</v>
      </c>
      <c r="J56" s="7">
        <f t="shared" si="3"/>
        <v>99.106902524362454</v>
      </c>
    </row>
    <row r="57" spans="1:10" ht="25.5">
      <c r="A57" s="8" t="s">
        <v>76</v>
      </c>
      <c r="B57" s="1" t="s">
        <v>330</v>
      </c>
      <c r="C57" s="1" t="s">
        <v>0</v>
      </c>
      <c r="D57" s="9">
        <f>D64</f>
        <v>234214.5</v>
      </c>
      <c r="E57" s="9">
        <f>E58+E60+E62+E64+E66</f>
        <v>234214.50000000003</v>
      </c>
      <c r="F57" s="9">
        <f t="shared" ref="F57:G57" si="25">F58+F60+F62+F64+F66</f>
        <v>161928.97399999999</v>
      </c>
      <c r="G57" s="9">
        <f t="shared" si="25"/>
        <v>161928.97399999999</v>
      </c>
      <c r="H57" s="9">
        <f>H58+H60+H62+H64+H66</f>
        <v>159987.85681</v>
      </c>
      <c r="I57" s="9">
        <f t="shared" si="2"/>
        <v>68.30826307081756</v>
      </c>
      <c r="J57" s="9">
        <f t="shared" si="3"/>
        <v>98.801253943596294</v>
      </c>
    </row>
    <row r="58" spans="1:10" s="91" customFormat="1" ht="51">
      <c r="A58" s="59" t="s">
        <v>60</v>
      </c>
      <c r="B58" s="28" t="s">
        <v>330</v>
      </c>
      <c r="C58" s="28">
        <v>100</v>
      </c>
      <c r="D58" s="9">
        <v>0</v>
      </c>
      <c r="E58" s="9">
        <f>E59</f>
        <v>72792.145080000002</v>
      </c>
      <c r="F58" s="9">
        <f t="shared" ref="F58:G58" si="26">F59</f>
        <v>16831.96</v>
      </c>
      <c r="G58" s="9">
        <f t="shared" si="26"/>
        <v>16831.96</v>
      </c>
      <c r="H58" s="9">
        <f>H59</f>
        <v>15249.31826</v>
      </c>
      <c r="I58" s="9">
        <f t="shared" ref="I58:I68" si="27">H58/E58*100</f>
        <v>20.949126094911339</v>
      </c>
      <c r="J58" s="9">
        <f t="shared" ref="J58:J68" si="28">H58/F58*100</f>
        <v>90.597400778043678</v>
      </c>
    </row>
    <row r="59" spans="1:10" s="91" customFormat="1">
      <c r="A59" s="59" t="s">
        <v>78</v>
      </c>
      <c r="B59" s="28" t="s">
        <v>330</v>
      </c>
      <c r="C59" s="28">
        <v>110</v>
      </c>
      <c r="D59" s="9">
        <v>0</v>
      </c>
      <c r="E59" s="9">
        <f>ведомство!H657</f>
        <v>72792.145080000002</v>
      </c>
      <c r="F59" s="9">
        <f>ведомство!I657</f>
        <v>16831.96</v>
      </c>
      <c r="G59" s="9">
        <f>ведомство!J657</f>
        <v>16831.96</v>
      </c>
      <c r="H59" s="9">
        <f>ведомство!K657</f>
        <v>15249.31826</v>
      </c>
      <c r="I59" s="9">
        <f t="shared" si="27"/>
        <v>20.949126094911339</v>
      </c>
      <c r="J59" s="9">
        <f t="shared" si="28"/>
        <v>90.597400778043678</v>
      </c>
    </row>
    <row r="60" spans="1:10" s="91" customFormat="1" ht="25.5">
      <c r="A60" s="59" t="s">
        <v>64</v>
      </c>
      <c r="B60" s="28" t="s">
        <v>330</v>
      </c>
      <c r="C60" s="28">
        <v>200</v>
      </c>
      <c r="D60" s="9">
        <v>0</v>
      </c>
      <c r="E60" s="9">
        <f>E61</f>
        <v>16854.77692</v>
      </c>
      <c r="F60" s="9">
        <f t="shared" ref="F60:G60" si="29">F61</f>
        <v>3882.95</v>
      </c>
      <c r="G60" s="9">
        <f t="shared" si="29"/>
        <v>3882.95</v>
      </c>
      <c r="H60" s="9">
        <f>H61</f>
        <v>3578.6882300000002</v>
      </c>
      <c r="I60" s="9">
        <f t="shared" si="27"/>
        <v>21.232486475412813</v>
      </c>
      <c r="J60" s="9">
        <f t="shared" si="28"/>
        <v>92.164159466385101</v>
      </c>
    </row>
    <row r="61" spans="1:10" s="91" customFormat="1" ht="25.5">
      <c r="A61" s="59" t="s">
        <v>66</v>
      </c>
      <c r="B61" s="28" t="s">
        <v>330</v>
      </c>
      <c r="C61" s="28">
        <v>240</v>
      </c>
      <c r="D61" s="9">
        <v>0</v>
      </c>
      <c r="E61" s="9">
        <f>ведомство!H659</f>
        <v>16854.77692</v>
      </c>
      <c r="F61" s="9">
        <f>ведомство!I659</f>
        <v>3882.95</v>
      </c>
      <c r="G61" s="9">
        <f>ведомство!J659</f>
        <v>3882.95</v>
      </c>
      <c r="H61" s="9">
        <f>ведомство!K659</f>
        <v>3578.6882300000002</v>
      </c>
      <c r="I61" s="9">
        <f t="shared" si="27"/>
        <v>21.232486475412813</v>
      </c>
      <c r="J61" s="9">
        <f t="shared" si="28"/>
        <v>92.164159466385101</v>
      </c>
    </row>
    <row r="62" spans="1:10" s="91" customFormat="1">
      <c r="A62" s="59" t="s">
        <v>68</v>
      </c>
      <c r="B62" s="28" t="s">
        <v>330</v>
      </c>
      <c r="C62" s="28">
        <v>300</v>
      </c>
      <c r="D62" s="9">
        <v>0</v>
      </c>
      <c r="E62" s="9">
        <f>E63</f>
        <v>507.07499999999999</v>
      </c>
      <c r="F62" s="9">
        <f t="shared" ref="F62:G62" si="30">F63</f>
        <v>211.28399999999999</v>
      </c>
      <c r="G62" s="9">
        <f t="shared" si="30"/>
        <v>211.28399999999999</v>
      </c>
      <c r="H62" s="9">
        <f>H63</f>
        <v>157.07032000000001</v>
      </c>
      <c r="I62" s="9">
        <f t="shared" si="27"/>
        <v>30.975757037913525</v>
      </c>
      <c r="J62" s="9">
        <f t="shared" si="28"/>
        <v>74.340849283428952</v>
      </c>
    </row>
    <row r="63" spans="1:10" s="91" customFormat="1" ht="25.5">
      <c r="A63" s="59" t="s">
        <v>151</v>
      </c>
      <c r="B63" s="28" t="s">
        <v>330</v>
      </c>
      <c r="C63" s="28">
        <v>320</v>
      </c>
      <c r="D63" s="9">
        <v>0</v>
      </c>
      <c r="E63" s="9">
        <f>ведомство!H661</f>
        <v>507.07499999999999</v>
      </c>
      <c r="F63" s="9">
        <f>ведомство!I661</f>
        <v>211.28399999999999</v>
      </c>
      <c r="G63" s="9">
        <f>ведомство!J661</f>
        <v>211.28399999999999</v>
      </c>
      <c r="H63" s="9">
        <f>ведомство!K661</f>
        <v>157.07032000000001</v>
      </c>
      <c r="I63" s="9">
        <f t="shared" si="27"/>
        <v>30.975757037913525</v>
      </c>
      <c r="J63" s="9">
        <f t="shared" si="28"/>
        <v>74.340849283428952</v>
      </c>
    </row>
    <row r="64" spans="1:10" ht="25.5">
      <c r="A64" s="8" t="s">
        <v>80</v>
      </c>
      <c r="B64" s="1" t="s">
        <v>330</v>
      </c>
      <c r="C64" s="1" t="s">
        <v>81</v>
      </c>
      <c r="D64" s="9">
        <f>D65</f>
        <v>234214.5</v>
      </c>
      <c r="E64" s="9">
        <f>E65</f>
        <v>143732.70000000001</v>
      </c>
      <c r="F64" s="9">
        <f t="shared" ref="F64:G64" si="31">F65</f>
        <v>141000.78</v>
      </c>
      <c r="G64" s="9">
        <f t="shared" si="31"/>
        <v>141000.78</v>
      </c>
      <c r="H64" s="9">
        <f>H65</f>
        <v>141000.78</v>
      </c>
      <c r="I64" s="9">
        <f t="shared" si="27"/>
        <v>98.099305168552448</v>
      </c>
      <c r="J64" s="9">
        <f t="shared" si="28"/>
        <v>100</v>
      </c>
    </row>
    <row r="65" spans="1:10">
      <c r="A65" s="8" t="s">
        <v>271</v>
      </c>
      <c r="B65" s="1" t="s">
        <v>330</v>
      </c>
      <c r="C65" s="1" t="s">
        <v>272</v>
      </c>
      <c r="D65" s="9">
        <f>ведомство!G663</f>
        <v>234214.5</v>
      </c>
      <c r="E65" s="9">
        <f>ведомство!H663</f>
        <v>143732.70000000001</v>
      </c>
      <c r="F65" s="9">
        <f>ведомство!I663</f>
        <v>141000.78</v>
      </c>
      <c r="G65" s="9">
        <f>ведомство!J663</f>
        <v>141000.78</v>
      </c>
      <c r="H65" s="9">
        <f>ведомство!K663</f>
        <v>141000.78</v>
      </c>
      <c r="I65" s="9">
        <f t="shared" si="27"/>
        <v>98.099305168552448</v>
      </c>
      <c r="J65" s="9">
        <f t="shared" si="28"/>
        <v>100</v>
      </c>
    </row>
    <row r="66" spans="1:10" s="91" customFormat="1">
      <c r="A66" s="59" t="s">
        <v>72</v>
      </c>
      <c r="B66" s="1" t="s">
        <v>330</v>
      </c>
      <c r="C66" s="1">
        <v>800</v>
      </c>
      <c r="D66" s="9"/>
      <c r="E66" s="9">
        <f>E67</f>
        <v>327.803</v>
      </c>
      <c r="F66" s="9">
        <f t="shared" ref="F66:G66" si="32">F67</f>
        <v>2</v>
      </c>
      <c r="G66" s="9">
        <f t="shared" si="32"/>
        <v>2</v>
      </c>
      <c r="H66" s="9">
        <f>H67</f>
        <v>2</v>
      </c>
      <c r="I66" s="9">
        <f t="shared" si="27"/>
        <v>0.61012254311278413</v>
      </c>
      <c r="J66" s="9">
        <f t="shared" si="28"/>
        <v>100</v>
      </c>
    </row>
    <row r="67" spans="1:10" s="91" customFormat="1">
      <c r="A67" s="59" t="s">
        <v>74</v>
      </c>
      <c r="B67" s="1" t="s">
        <v>330</v>
      </c>
      <c r="C67" s="1">
        <v>850</v>
      </c>
      <c r="D67" s="9"/>
      <c r="E67" s="9">
        <f>ведомство!H665</f>
        <v>327.803</v>
      </c>
      <c r="F67" s="9">
        <f>ведомство!I665</f>
        <v>2</v>
      </c>
      <c r="G67" s="9">
        <f>ведомство!J665</f>
        <v>2</v>
      </c>
      <c r="H67" s="9">
        <f>ведомство!K665</f>
        <v>2</v>
      </c>
      <c r="I67" s="9">
        <f t="shared" si="27"/>
        <v>0.61012254311278413</v>
      </c>
      <c r="J67" s="9">
        <f t="shared" si="28"/>
        <v>100</v>
      </c>
    </row>
    <row r="68" spans="1:10" ht="25.5">
      <c r="A68" s="8" t="s">
        <v>331</v>
      </c>
      <c r="B68" s="1" t="s">
        <v>332</v>
      </c>
      <c r="C68" s="1" t="s">
        <v>0</v>
      </c>
      <c r="D68" s="22">
        <f>D69</f>
        <v>73000</v>
      </c>
      <c r="E68" s="22">
        <f>E69</f>
        <v>73000</v>
      </c>
      <c r="F68" s="22">
        <f t="shared" ref="F68:G69" si="33">F69</f>
        <v>55417.647499999999</v>
      </c>
      <c r="G68" s="22">
        <f t="shared" si="33"/>
        <v>55417.647499999999</v>
      </c>
      <c r="H68" s="22">
        <f>H69</f>
        <v>55417.647499999999</v>
      </c>
      <c r="I68" s="9">
        <f t="shared" si="27"/>
        <v>75.914585616438359</v>
      </c>
      <c r="J68" s="9">
        <f t="shared" si="28"/>
        <v>100</v>
      </c>
    </row>
    <row r="69" spans="1:10">
      <c r="A69" s="8" t="s">
        <v>68</v>
      </c>
      <c r="B69" s="1" t="s">
        <v>332</v>
      </c>
      <c r="C69" s="1" t="s">
        <v>69</v>
      </c>
      <c r="D69" s="9">
        <f>D70</f>
        <v>73000</v>
      </c>
      <c r="E69" s="9">
        <f>E70</f>
        <v>73000</v>
      </c>
      <c r="F69" s="9">
        <f t="shared" si="33"/>
        <v>55417.647499999999</v>
      </c>
      <c r="G69" s="9">
        <f t="shared" si="33"/>
        <v>55417.647499999999</v>
      </c>
      <c r="H69" s="9">
        <f>H70</f>
        <v>55417.647499999999</v>
      </c>
      <c r="I69" s="9">
        <f t="shared" si="2"/>
        <v>75.914585616438359</v>
      </c>
      <c r="J69" s="9">
        <f t="shared" si="3"/>
        <v>100</v>
      </c>
    </row>
    <row r="70" spans="1:10" ht="25.5">
      <c r="A70" s="8" t="s">
        <v>151</v>
      </c>
      <c r="B70" s="1" t="s">
        <v>332</v>
      </c>
      <c r="C70" s="1" t="s">
        <v>152</v>
      </c>
      <c r="D70" s="9">
        <f>ведомство!G668</f>
        <v>73000</v>
      </c>
      <c r="E70" s="9">
        <f>ведомство!H668</f>
        <v>73000</v>
      </c>
      <c r="F70" s="9">
        <f>ведомство!I668</f>
        <v>55417.647499999999</v>
      </c>
      <c r="G70" s="9">
        <f>ведомство!J668</f>
        <v>55417.647499999999</v>
      </c>
      <c r="H70" s="9">
        <f>ведомство!K668</f>
        <v>55417.647499999999</v>
      </c>
      <c r="I70" s="9">
        <f t="shared" si="2"/>
        <v>75.914585616438359</v>
      </c>
      <c r="J70" s="9">
        <f t="shared" si="3"/>
        <v>100</v>
      </c>
    </row>
    <row r="71" spans="1:10">
      <c r="A71" s="4" t="s">
        <v>0</v>
      </c>
      <c r="B71" s="17" t="s">
        <v>0</v>
      </c>
      <c r="C71" s="5" t="s">
        <v>0</v>
      </c>
      <c r="D71" s="7" t="s">
        <v>0</v>
      </c>
      <c r="E71" s="7" t="s">
        <v>0</v>
      </c>
      <c r="F71" s="7" t="s">
        <v>0</v>
      </c>
      <c r="G71" s="7" t="s">
        <v>0</v>
      </c>
      <c r="H71" s="7" t="s">
        <v>0</v>
      </c>
      <c r="I71" s="7"/>
      <c r="J71" s="7"/>
    </row>
    <row r="72" spans="1:10" ht="25.5">
      <c r="A72" s="4" t="s">
        <v>318</v>
      </c>
      <c r="B72" s="5" t="s">
        <v>319</v>
      </c>
      <c r="C72" s="5" t="s">
        <v>0</v>
      </c>
      <c r="D72" s="7">
        <f>D73</f>
        <v>148228.90000000002</v>
      </c>
      <c r="E72" s="7">
        <f>E73</f>
        <v>150313.70000000001</v>
      </c>
      <c r="F72" s="7">
        <f t="shared" ref="F72:G73" si="34">F73</f>
        <v>110461.4</v>
      </c>
      <c r="G72" s="7">
        <f t="shared" si="34"/>
        <v>110461.4</v>
      </c>
      <c r="H72" s="7">
        <f>H73</f>
        <v>110461.4</v>
      </c>
      <c r="I72" s="7">
        <f t="shared" si="2"/>
        <v>73.487247004098748</v>
      </c>
      <c r="J72" s="7">
        <f t="shared" si="3"/>
        <v>100</v>
      </c>
    </row>
    <row r="73" spans="1:10" ht="25.5">
      <c r="A73" s="8" t="s">
        <v>76</v>
      </c>
      <c r="B73" s="1" t="s">
        <v>320</v>
      </c>
      <c r="C73" s="1" t="s">
        <v>0</v>
      </c>
      <c r="D73" s="9">
        <f>D74</f>
        <v>148228.90000000002</v>
      </c>
      <c r="E73" s="9">
        <f>E74</f>
        <v>150313.70000000001</v>
      </c>
      <c r="F73" s="9">
        <f t="shared" si="34"/>
        <v>110461.4</v>
      </c>
      <c r="G73" s="9">
        <f t="shared" si="34"/>
        <v>110461.4</v>
      </c>
      <c r="H73" s="9">
        <f>H74</f>
        <v>110461.4</v>
      </c>
      <c r="I73" s="9">
        <f t="shared" si="2"/>
        <v>73.487247004098748</v>
      </c>
      <c r="J73" s="9">
        <f t="shared" si="3"/>
        <v>100</v>
      </c>
    </row>
    <row r="74" spans="1:10" ht="25.5">
      <c r="A74" s="8" t="s">
        <v>80</v>
      </c>
      <c r="B74" s="1" t="s">
        <v>320</v>
      </c>
      <c r="C74" s="1" t="s">
        <v>81</v>
      </c>
      <c r="D74" s="9">
        <f>D75+D76</f>
        <v>148228.90000000002</v>
      </c>
      <c r="E74" s="9">
        <f>E75+E76</f>
        <v>150313.70000000001</v>
      </c>
      <c r="F74" s="9">
        <f t="shared" ref="F74:G74" si="35">F75+F76</f>
        <v>110461.4</v>
      </c>
      <c r="G74" s="9">
        <f t="shared" si="35"/>
        <v>110461.4</v>
      </c>
      <c r="H74" s="9">
        <f>H75+H76</f>
        <v>110461.4</v>
      </c>
      <c r="I74" s="9">
        <f t="shared" si="2"/>
        <v>73.487247004098748</v>
      </c>
      <c r="J74" s="9">
        <f t="shared" si="3"/>
        <v>100</v>
      </c>
    </row>
    <row r="75" spans="1:10">
      <c r="A75" s="8" t="s">
        <v>271</v>
      </c>
      <c r="B75" s="1" t="s">
        <v>320</v>
      </c>
      <c r="C75" s="1" t="s">
        <v>272</v>
      </c>
      <c r="D75" s="9">
        <f>ведомство!G627</f>
        <v>71306.3</v>
      </c>
      <c r="E75" s="9">
        <f>ведомство!H627</f>
        <v>73391.100000000006</v>
      </c>
      <c r="F75" s="9">
        <f>ведомство!I627</f>
        <v>52769.5</v>
      </c>
      <c r="G75" s="9">
        <f>ведомство!J627</f>
        <v>52769.5</v>
      </c>
      <c r="H75" s="9">
        <f>ведомство!K627</f>
        <v>52769.5</v>
      </c>
      <c r="I75" s="9">
        <f t="shared" si="2"/>
        <v>71.9017701056395</v>
      </c>
      <c r="J75" s="9">
        <f t="shared" si="3"/>
        <v>100</v>
      </c>
    </row>
    <row r="76" spans="1:10">
      <c r="A76" s="8" t="s">
        <v>82</v>
      </c>
      <c r="B76" s="1" t="s">
        <v>320</v>
      </c>
      <c r="C76" s="1" t="s">
        <v>83</v>
      </c>
      <c r="D76" s="9">
        <f>ведомство!G628</f>
        <v>76922.600000000006</v>
      </c>
      <c r="E76" s="9">
        <f>ведомство!H628</f>
        <v>76922.600000000006</v>
      </c>
      <c r="F76" s="9">
        <f>ведомство!I628</f>
        <v>57691.9</v>
      </c>
      <c r="G76" s="9">
        <f>ведомство!J628</f>
        <v>57691.9</v>
      </c>
      <c r="H76" s="9">
        <f>ведомство!K628</f>
        <v>57691.9</v>
      </c>
      <c r="I76" s="9">
        <f t="shared" si="2"/>
        <v>74.999934999597002</v>
      </c>
      <c r="J76" s="9">
        <f t="shared" si="3"/>
        <v>100</v>
      </c>
    </row>
    <row r="77" spans="1:10">
      <c r="A77" s="4" t="s">
        <v>0</v>
      </c>
      <c r="B77" s="17" t="s">
        <v>0</v>
      </c>
      <c r="C77" s="5" t="s">
        <v>0</v>
      </c>
      <c r="D77" s="7" t="s">
        <v>0</v>
      </c>
      <c r="E77" s="7" t="s">
        <v>0</v>
      </c>
      <c r="F77" s="7" t="s">
        <v>0</v>
      </c>
      <c r="G77" s="7" t="s">
        <v>0</v>
      </c>
      <c r="H77" s="7" t="s">
        <v>0</v>
      </c>
      <c r="I77" s="7"/>
      <c r="J77" s="7"/>
    </row>
    <row r="78" spans="1:10" ht="25.5">
      <c r="A78" s="4" t="s">
        <v>296</v>
      </c>
      <c r="B78" s="5" t="s">
        <v>297</v>
      </c>
      <c r="C78" s="5" t="s">
        <v>0</v>
      </c>
      <c r="D78" s="7">
        <f t="shared" ref="D78:H80" si="36">D79</f>
        <v>290034.59999999998</v>
      </c>
      <c r="E78" s="7">
        <f t="shared" si="36"/>
        <v>290034.59999999998</v>
      </c>
      <c r="F78" s="7">
        <f t="shared" si="36"/>
        <v>191866</v>
      </c>
      <c r="G78" s="7">
        <f t="shared" si="36"/>
        <v>191866</v>
      </c>
      <c r="H78" s="7">
        <f t="shared" si="36"/>
        <v>191866</v>
      </c>
      <c r="I78" s="7">
        <f t="shared" si="2"/>
        <v>66.152796942157948</v>
      </c>
      <c r="J78" s="7">
        <f t="shared" si="3"/>
        <v>100</v>
      </c>
    </row>
    <row r="79" spans="1:10" ht="25.5">
      <c r="A79" s="8" t="s">
        <v>76</v>
      </c>
      <c r="B79" s="1" t="s">
        <v>298</v>
      </c>
      <c r="C79" s="1" t="s">
        <v>0</v>
      </c>
      <c r="D79" s="9">
        <f t="shared" si="36"/>
        <v>290034.59999999998</v>
      </c>
      <c r="E79" s="9">
        <f t="shared" si="36"/>
        <v>290034.59999999998</v>
      </c>
      <c r="F79" s="9">
        <f t="shared" si="36"/>
        <v>191866</v>
      </c>
      <c r="G79" s="9">
        <f t="shared" si="36"/>
        <v>191866</v>
      </c>
      <c r="H79" s="9">
        <f t="shared" si="36"/>
        <v>191866</v>
      </c>
      <c r="I79" s="9">
        <f t="shared" si="2"/>
        <v>66.152796942157948</v>
      </c>
      <c r="J79" s="9">
        <f t="shared" si="3"/>
        <v>100</v>
      </c>
    </row>
    <row r="80" spans="1:10" ht="25.5">
      <c r="A80" s="8" t="s">
        <v>80</v>
      </c>
      <c r="B80" s="1" t="s">
        <v>298</v>
      </c>
      <c r="C80" s="1" t="s">
        <v>81</v>
      </c>
      <c r="D80" s="9">
        <f t="shared" si="36"/>
        <v>290034.59999999998</v>
      </c>
      <c r="E80" s="9">
        <f t="shared" si="36"/>
        <v>290034.59999999998</v>
      </c>
      <c r="F80" s="9">
        <f t="shared" si="36"/>
        <v>191866</v>
      </c>
      <c r="G80" s="9">
        <f t="shared" si="36"/>
        <v>191866</v>
      </c>
      <c r="H80" s="9">
        <f t="shared" si="36"/>
        <v>191866</v>
      </c>
      <c r="I80" s="9">
        <f t="shared" si="2"/>
        <v>66.152796942157948</v>
      </c>
      <c r="J80" s="9">
        <f t="shared" si="3"/>
        <v>100</v>
      </c>
    </row>
    <row r="81" spans="1:10">
      <c r="A81" s="8" t="s">
        <v>271</v>
      </c>
      <c r="B81" s="1" t="s">
        <v>298</v>
      </c>
      <c r="C81" s="1" t="s">
        <v>272</v>
      </c>
      <c r="D81" s="9">
        <f>ведомство!G540</f>
        <v>290034.59999999998</v>
      </c>
      <c r="E81" s="9">
        <f>ведомство!H540</f>
        <v>290034.59999999998</v>
      </c>
      <c r="F81" s="9">
        <f>ведомство!I540</f>
        <v>191866</v>
      </c>
      <c r="G81" s="9">
        <f>ведомство!J540</f>
        <v>191866</v>
      </c>
      <c r="H81" s="9">
        <f>ведомство!K540</f>
        <v>191866</v>
      </c>
      <c r="I81" s="9">
        <f t="shared" si="2"/>
        <v>66.152796942157948</v>
      </c>
      <c r="J81" s="9">
        <f t="shared" si="3"/>
        <v>100</v>
      </c>
    </row>
    <row r="82" spans="1:10">
      <c r="A82" s="4" t="s">
        <v>0</v>
      </c>
      <c r="B82" s="17" t="s">
        <v>0</v>
      </c>
      <c r="C82" s="5" t="s">
        <v>0</v>
      </c>
      <c r="D82" s="7" t="s">
        <v>0</v>
      </c>
      <c r="E82" s="7" t="s">
        <v>0</v>
      </c>
      <c r="F82" s="7" t="s">
        <v>0</v>
      </c>
      <c r="G82" s="7" t="s">
        <v>0</v>
      </c>
      <c r="H82" s="7" t="s">
        <v>0</v>
      </c>
      <c r="I82" s="7"/>
      <c r="J82" s="7"/>
    </row>
    <row r="83" spans="1:10">
      <c r="A83" s="4" t="s">
        <v>284</v>
      </c>
      <c r="B83" s="5" t="s">
        <v>285</v>
      </c>
      <c r="C83" s="5" t="s">
        <v>0</v>
      </c>
      <c r="D83" s="7">
        <f>D84+D87+D96</f>
        <v>157427.5</v>
      </c>
      <c r="E83" s="7">
        <f>E84+E87+E96</f>
        <v>162827.5</v>
      </c>
      <c r="F83" s="7">
        <f t="shared" ref="F83:G83" si="37">F84+F87+F96</f>
        <v>115529.04222999999</v>
      </c>
      <c r="G83" s="7">
        <f t="shared" si="37"/>
        <v>115529.04222999999</v>
      </c>
      <c r="H83" s="7">
        <f>H84+H87+H96</f>
        <v>115315.17485</v>
      </c>
      <c r="I83" s="7">
        <f t="shared" si="2"/>
        <v>70.820454069490708</v>
      </c>
      <c r="J83" s="7">
        <f t="shared" si="3"/>
        <v>99.814879985264469</v>
      </c>
    </row>
    <row r="84" spans="1:10">
      <c r="A84" s="8" t="s">
        <v>1125</v>
      </c>
      <c r="B84" s="1" t="s">
        <v>1126</v>
      </c>
      <c r="C84" s="6"/>
      <c r="D84" s="22">
        <f>D85</f>
        <v>0</v>
      </c>
      <c r="E84" s="22">
        <f>E85</f>
        <v>5400</v>
      </c>
      <c r="F84" s="22">
        <f t="shared" ref="F84:G85" si="38">F85</f>
        <v>5400</v>
      </c>
      <c r="G84" s="22">
        <f t="shared" si="38"/>
        <v>5400</v>
      </c>
      <c r="H84" s="22">
        <f>H85</f>
        <v>5400</v>
      </c>
      <c r="I84" s="22">
        <f t="shared" si="2"/>
        <v>100</v>
      </c>
      <c r="J84" s="22">
        <f t="shared" si="3"/>
        <v>100</v>
      </c>
    </row>
    <row r="85" spans="1:10">
      <c r="A85" s="8" t="s">
        <v>68</v>
      </c>
      <c r="B85" s="26" t="s">
        <v>1126</v>
      </c>
      <c r="C85" s="6">
        <v>300</v>
      </c>
      <c r="D85" s="22">
        <f>D86</f>
        <v>0</v>
      </c>
      <c r="E85" s="22">
        <f>E86</f>
        <v>5400</v>
      </c>
      <c r="F85" s="22">
        <f t="shared" si="38"/>
        <v>5400</v>
      </c>
      <c r="G85" s="22">
        <f t="shared" si="38"/>
        <v>5400</v>
      </c>
      <c r="H85" s="22">
        <f>H86</f>
        <v>5400</v>
      </c>
      <c r="I85" s="22">
        <f t="shared" si="2"/>
        <v>100</v>
      </c>
      <c r="J85" s="22">
        <f t="shared" si="3"/>
        <v>100</v>
      </c>
    </row>
    <row r="86" spans="1:10">
      <c r="A86" s="8" t="s">
        <v>70</v>
      </c>
      <c r="B86" s="26" t="s">
        <v>1126</v>
      </c>
      <c r="C86" s="6">
        <v>360</v>
      </c>
      <c r="D86" s="22">
        <f>ведомство!G672</f>
        <v>0</v>
      </c>
      <c r="E86" s="22">
        <f>ведомство!H672</f>
        <v>5400</v>
      </c>
      <c r="F86" s="22">
        <f>ведомство!I672</f>
        <v>5400</v>
      </c>
      <c r="G86" s="22">
        <f>ведомство!J672</f>
        <v>5400</v>
      </c>
      <c r="H86" s="22">
        <f>ведомство!K672</f>
        <v>5400</v>
      </c>
      <c r="I86" s="22">
        <f t="shared" si="2"/>
        <v>100</v>
      </c>
      <c r="J86" s="22">
        <f t="shared" si="3"/>
        <v>100</v>
      </c>
    </row>
    <row r="87" spans="1:10" ht="16.5" customHeight="1">
      <c r="A87" s="8" t="s">
        <v>76</v>
      </c>
      <c r="B87" s="1" t="s">
        <v>286</v>
      </c>
      <c r="C87" s="1" t="s">
        <v>0</v>
      </c>
      <c r="D87" s="9">
        <f>D88+D90+D93</f>
        <v>127627.49999999999</v>
      </c>
      <c r="E87" s="9">
        <f>E88+E90+E93</f>
        <v>127627.5</v>
      </c>
      <c r="F87" s="9">
        <f t="shared" ref="F87:G87" si="39">F88+F90+F93</f>
        <v>98321.942229999986</v>
      </c>
      <c r="G87" s="9">
        <f t="shared" si="39"/>
        <v>98321.942229999986</v>
      </c>
      <c r="H87" s="9">
        <f>H88+H90+H93</f>
        <v>98315.487949999995</v>
      </c>
      <c r="I87" s="9">
        <f t="shared" si="2"/>
        <v>77.033153473976995</v>
      </c>
      <c r="J87" s="9">
        <f t="shared" si="3"/>
        <v>99.993435564988246</v>
      </c>
    </row>
    <row r="88" spans="1:10" ht="51">
      <c r="A88" s="8" t="s">
        <v>60</v>
      </c>
      <c r="B88" s="1" t="s">
        <v>286</v>
      </c>
      <c r="C88" s="1" t="s">
        <v>61</v>
      </c>
      <c r="D88" s="9">
        <f>D89</f>
        <v>586.1</v>
      </c>
      <c r="E88" s="9">
        <f>E89</f>
        <v>1736.25</v>
      </c>
      <c r="F88" s="9">
        <f t="shared" ref="F88:G88" si="40">F89</f>
        <v>645.19000000000005</v>
      </c>
      <c r="G88" s="9">
        <f t="shared" si="40"/>
        <v>645.19000000000005</v>
      </c>
      <c r="H88" s="9">
        <f>H89</f>
        <v>639.92751999999996</v>
      </c>
      <c r="I88" s="9">
        <f t="shared" si="2"/>
        <v>36.856876601871846</v>
      </c>
      <c r="J88" s="9">
        <f t="shared" si="3"/>
        <v>99.184351896340601</v>
      </c>
    </row>
    <row r="89" spans="1:10">
      <c r="A89" s="8" t="s">
        <v>78</v>
      </c>
      <c r="B89" s="1" t="s">
        <v>286</v>
      </c>
      <c r="C89" s="1" t="s">
        <v>79</v>
      </c>
      <c r="D89" s="9">
        <f>ведомство!G675</f>
        <v>586.1</v>
      </c>
      <c r="E89" s="9">
        <f>ведомство!H675</f>
        <v>1736.25</v>
      </c>
      <c r="F89" s="9">
        <f>ведомство!I675</f>
        <v>645.19000000000005</v>
      </c>
      <c r="G89" s="9">
        <f>ведомство!J675</f>
        <v>645.19000000000005</v>
      </c>
      <c r="H89" s="9">
        <f>ведомство!K675</f>
        <v>639.92751999999996</v>
      </c>
      <c r="I89" s="9">
        <f t="shared" si="2"/>
        <v>36.856876601871846</v>
      </c>
      <c r="J89" s="9">
        <f t="shared" si="3"/>
        <v>99.184351896340601</v>
      </c>
    </row>
    <row r="90" spans="1:10">
      <c r="A90" s="8" t="s">
        <v>68</v>
      </c>
      <c r="B90" s="1" t="s">
        <v>286</v>
      </c>
      <c r="C90" s="1" t="s">
        <v>69</v>
      </c>
      <c r="D90" s="9">
        <f>D91+D92</f>
        <v>159.1</v>
      </c>
      <c r="E90" s="9">
        <f>E91+E92</f>
        <v>159.1</v>
      </c>
      <c r="F90" s="9">
        <f t="shared" ref="F90:G90" si="41">F91+F92</f>
        <v>126.02499999999999</v>
      </c>
      <c r="G90" s="9">
        <f t="shared" si="41"/>
        <v>126.02499999999999</v>
      </c>
      <c r="H90" s="9">
        <f>H91+H92</f>
        <v>124.83319999999999</v>
      </c>
      <c r="I90" s="9">
        <f t="shared" si="2"/>
        <v>78.462099308610931</v>
      </c>
      <c r="J90" s="9">
        <f t="shared" si="3"/>
        <v>99.054314620115065</v>
      </c>
    </row>
    <row r="91" spans="1:10" ht="25.5">
      <c r="A91" s="8" t="s">
        <v>151</v>
      </c>
      <c r="B91" s="1" t="s">
        <v>286</v>
      </c>
      <c r="C91" s="1" t="s">
        <v>152</v>
      </c>
      <c r="D91" s="9">
        <f>ведомство!G677</f>
        <v>106.3</v>
      </c>
      <c r="E91" s="9">
        <f>ведомство!H677</f>
        <v>106.3</v>
      </c>
      <c r="F91" s="9">
        <f>ведомство!I677</f>
        <v>89.724999999999994</v>
      </c>
      <c r="G91" s="9">
        <f>ведомство!J677</f>
        <v>89.724999999999994</v>
      </c>
      <c r="H91" s="9">
        <f>ведомство!K677</f>
        <v>88.533199999999994</v>
      </c>
      <c r="I91" s="9">
        <f t="shared" si="2"/>
        <v>83.286171213546567</v>
      </c>
      <c r="J91" s="9">
        <f t="shared" si="3"/>
        <v>98.671719141822237</v>
      </c>
    </row>
    <row r="92" spans="1:10">
      <c r="A92" s="8" t="s">
        <v>70</v>
      </c>
      <c r="B92" s="1" t="s">
        <v>286</v>
      </c>
      <c r="C92" s="1" t="s">
        <v>71</v>
      </c>
      <c r="D92" s="9">
        <f>ведомство!G678</f>
        <v>52.8</v>
      </c>
      <c r="E92" s="9">
        <f>ведомство!H678</f>
        <v>52.8</v>
      </c>
      <c r="F92" s="9">
        <f>ведомство!I678</f>
        <v>36.299999999999997</v>
      </c>
      <c r="G92" s="9">
        <f>ведомство!J678</f>
        <v>36.299999999999997</v>
      </c>
      <c r="H92" s="9">
        <f>ведомство!K678</f>
        <v>36.299999999999997</v>
      </c>
      <c r="I92" s="9">
        <f t="shared" si="2"/>
        <v>68.75</v>
      </c>
      <c r="J92" s="9">
        <f t="shared" si="3"/>
        <v>100</v>
      </c>
    </row>
    <row r="93" spans="1:10" ht="25.5">
      <c r="A93" s="8" t="s">
        <v>80</v>
      </c>
      <c r="B93" s="1" t="s">
        <v>286</v>
      </c>
      <c r="C93" s="1" t="s">
        <v>81</v>
      </c>
      <c r="D93" s="9">
        <f>D94+D95</f>
        <v>126882.29999999999</v>
      </c>
      <c r="E93" s="9">
        <f>E94+E95</f>
        <v>125732.15</v>
      </c>
      <c r="F93" s="9">
        <f t="shared" ref="F93:G93" si="42">F94+F95</f>
        <v>97550.72722999999</v>
      </c>
      <c r="G93" s="9">
        <f t="shared" si="42"/>
        <v>97550.72722999999</v>
      </c>
      <c r="H93" s="9">
        <f>H94+H95</f>
        <v>97550.72722999999</v>
      </c>
      <c r="I93" s="9">
        <f t="shared" si="2"/>
        <v>77.586144220074175</v>
      </c>
      <c r="J93" s="9">
        <f t="shared" si="3"/>
        <v>100</v>
      </c>
    </row>
    <row r="94" spans="1:10">
      <c r="A94" s="8" t="s">
        <v>271</v>
      </c>
      <c r="B94" s="1" t="s">
        <v>286</v>
      </c>
      <c r="C94" s="1" t="s">
        <v>272</v>
      </c>
      <c r="D94" s="9">
        <f>ведомство!G680</f>
        <v>44000.7</v>
      </c>
      <c r="E94" s="9">
        <f>ведомство!H680</f>
        <v>42793.65</v>
      </c>
      <c r="F94" s="9">
        <f>ведомство!I680</f>
        <v>35373.977229999997</v>
      </c>
      <c r="G94" s="9">
        <f>ведомство!J680</f>
        <v>35373.977229999997</v>
      </c>
      <c r="H94" s="9">
        <f>ведомство!K680</f>
        <v>35373.977229999997</v>
      </c>
      <c r="I94" s="9">
        <f t="shared" si="2"/>
        <v>82.661743576441822</v>
      </c>
      <c r="J94" s="9">
        <f t="shared" si="3"/>
        <v>100</v>
      </c>
    </row>
    <row r="95" spans="1:10">
      <c r="A95" s="8" t="s">
        <v>82</v>
      </c>
      <c r="B95" s="1" t="s">
        <v>286</v>
      </c>
      <c r="C95" s="1" t="s">
        <v>83</v>
      </c>
      <c r="D95" s="9">
        <f>ведомство!G503+ведомство!G513+ведомство!G681</f>
        <v>82881.599999999991</v>
      </c>
      <c r="E95" s="9">
        <f>ведомство!H503+ведомство!H513+ведомство!H681</f>
        <v>82938.5</v>
      </c>
      <c r="F95" s="9">
        <f>ведомство!I503+ведомство!I513+ведомство!I681</f>
        <v>62176.75</v>
      </c>
      <c r="G95" s="9">
        <f>ведомство!J503+ведомство!J513+ведомство!J681</f>
        <v>62176.75</v>
      </c>
      <c r="H95" s="9">
        <f>ведомство!K503+ведомство!K513+ведомство!K681</f>
        <v>62176.75</v>
      </c>
      <c r="I95" s="9">
        <f t="shared" si="2"/>
        <v>74.967295043918085</v>
      </c>
      <c r="J95" s="9">
        <f t="shared" si="3"/>
        <v>100</v>
      </c>
    </row>
    <row r="96" spans="1:10">
      <c r="A96" s="8" t="s">
        <v>303</v>
      </c>
      <c r="B96" s="1" t="s">
        <v>333</v>
      </c>
      <c r="C96" s="1" t="s">
        <v>0</v>
      </c>
      <c r="D96" s="9">
        <f>D97+D99</f>
        <v>29800</v>
      </c>
      <c r="E96" s="9">
        <f>E97+E99</f>
        <v>29800</v>
      </c>
      <c r="F96" s="9">
        <f t="shared" ref="F96:G96" si="43">F97+F99</f>
        <v>11807.1</v>
      </c>
      <c r="G96" s="9">
        <f t="shared" si="43"/>
        <v>11807.1</v>
      </c>
      <c r="H96" s="9">
        <f>H97+H99</f>
        <v>11599.686900000001</v>
      </c>
      <c r="I96" s="9">
        <f t="shared" ref="I96:I162" si="44">H96/E96*100</f>
        <v>38.925123825503363</v>
      </c>
      <c r="J96" s="9">
        <f t="shared" ref="J96:J162" si="45">H96/F96*100</f>
        <v>98.243318850522144</v>
      </c>
    </row>
    <row r="97" spans="1:10" ht="25.5">
      <c r="A97" s="8" t="s">
        <v>64</v>
      </c>
      <c r="B97" s="1" t="s">
        <v>333</v>
      </c>
      <c r="C97" s="1" t="s">
        <v>65</v>
      </c>
      <c r="D97" s="9">
        <f>D98</f>
        <v>3900</v>
      </c>
      <c r="E97" s="9">
        <f>E98</f>
        <v>3900</v>
      </c>
      <c r="F97" s="9">
        <f t="shared" ref="F97:G97" si="46">F98</f>
        <v>2256.1</v>
      </c>
      <c r="G97" s="9">
        <f t="shared" si="46"/>
        <v>2256.1</v>
      </c>
      <c r="H97" s="9">
        <f>H98</f>
        <v>2099.6869000000002</v>
      </c>
      <c r="I97" s="9">
        <f t="shared" si="44"/>
        <v>53.838125641025648</v>
      </c>
      <c r="J97" s="9">
        <f t="shared" si="45"/>
        <v>93.067102522051343</v>
      </c>
    </row>
    <row r="98" spans="1:10" ht="25.5">
      <c r="A98" s="8" t="s">
        <v>66</v>
      </c>
      <c r="B98" s="1" t="s">
        <v>333</v>
      </c>
      <c r="C98" s="1" t="s">
        <v>67</v>
      </c>
      <c r="D98" s="9">
        <f>ведомство!G684</f>
        <v>3900</v>
      </c>
      <c r="E98" s="9">
        <f>ведомство!H684</f>
        <v>3900</v>
      </c>
      <c r="F98" s="9">
        <f>ведомство!I684</f>
        <v>2256.1</v>
      </c>
      <c r="G98" s="9">
        <f>ведомство!J684</f>
        <v>2256.1</v>
      </c>
      <c r="H98" s="9">
        <f>ведомство!K684</f>
        <v>2099.6869000000002</v>
      </c>
      <c r="I98" s="9">
        <f t="shared" si="44"/>
        <v>53.838125641025648</v>
      </c>
      <c r="J98" s="9">
        <f t="shared" si="45"/>
        <v>93.067102522051343</v>
      </c>
    </row>
    <row r="99" spans="1:10">
      <c r="A99" s="8" t="s">
        <v>68</v>
      </c>
      <c r="B99" s="1" t="s">
        <v>333</v>
      </c>
      <c r="C99" s="1" t="s">
        <v>69</v>
      </c>
      <c r="D99" s="9">
        <f>D100+D101</f>
        <v>25900</v>
      </c>
      <c r="E99" s="9">
        <f>E100+E101</f>
        <v>25900</v>
      </c>
      <c r="F99" s="9">
        <f t="shared" ref="F99:G99" si="47">F100+F101</f>
        <v>9551</v>
      </c>
      <c r="G99" s="9">
        <f t="shared" si="47"/>
        <v>9551</v>
      </c>
      <c r="H99" s="9">
        <f>H100+H101</f>
        <v>9500</v>
      </c>
      <c r="I99" s="9">
        <f t="shared" si="44"/>
        <v>36.679536679536682</v>
      </c>
      <c r="J99" s="9">
        <f t="shared" si="45"/>
        <v>99.466024500052356</v>
      </c>
    </row>
    <row r="100" spans="1:10" ht="25.5">
      <c r="A100" s="8" t="s">
        <v>151</v>
      </c>
      <c r="B100" s="1" t="s">
        <v>333</v>
      </c>
      <c r="C100" s="1" t="s">
        <v>152</v>
      </c>
      <c r="D100" s="9">
        <f>ведомство!G686</f>
        <v>5000</v>
      </c>
      <c r="E100" s="9">
        <f>ведомство!H686</f>
        <v>5000</v>
      </c>
      <c r="F100" s="9">
        <f>ведомство!I686</f>
        <v>2950</v>
      </c>
      <c r="G100" s="9">
        <f>ведомство!J686</f>
        <v>2950</v>
      </c>
      <c r="H100" s="9">
        <f>ведомство!K686</f>
        <v>2950</v>
      </c>
      <c r="I100" s="9">
        <f t="shared" si="44"/>
        <v>59</v>
      </c>
      <c r="J100" s="9">
        <f t="shared" si="45"/>
        <v>100</v>
      </c>
    </row>
    <row r="101" spans="1:10">
      <c r="A101" s="8" t="s">
        <v>70</v>
      </c>
      <c r="B101" s="1" t="s">
        <v>333</v>
      </c>
      <c r="C101" s="1" t="s">
        <v>71</v>
      </c>
      <c r="D101" s="9">
        <f>ведомство!G687</f>
        <v>20900</v>
      </c>
      <c r="E101" s="9">
        <f>ведомство!H687</f>
        <v>20900</v>
      </c>
      <c r="F101" s="9">
        <f>ведомство!I687</f>
        <v>6601</v>
      </c>
      <c r="G101" s="9">
        <f>ведомство!J687</f>
        <v>6601</v>
      </c>
      <c r="H101" s="9">
        <f>ведомство!K687</f>
        <v>6550</v>
      </c>
      <c r="I101" s="9">
        <f t="shared" si="44"/>
        <v>31.33971291866029</v>
      </c>
      <c r="J101" s="9">
        <f t="shared" si="45"/>
        <v>99.227389789425843</v>
      </c>
    </row>
    <row r="102" spans="1:10">
      <c r="A102" s="4" t="s">
        <v>0</v>
      </c>
      <c r="B102" s="17" t="s">
        <v>0</v>
      </c>
      <c r="C102" s="5" t="s">
        <v>0</v>
      </c>
      <c r="D102" s="7" t="s">
        <v>0</v>
      </c>
      <c r="E102" s="7" t="s">
        <v>0</v>
      </c>
      <c r="F102" s="7" t="s">
        <v>0</v>
      </c>
      <c r="G102" s="7" t="s">
        <v>0</v>
      </c>
      <c r="H102" s="7" t="s">
        <v>0</v>
      </c>
      <c r="I102" s="7"/>
      <c r="J102" s="7"/>
    </row>
    <row r="103" spans="1:10" ht="25.5">
      <c r="A103" s="4" t="s">
        <v>309</v>
      </c>
      <c r="B103" s="5" t="s">
        <v>310</v>
      </c>
      <c r="C103" s="5" t="s">
        <v>0</v>
      </c>
      <c r="D103" s="7">
        <f>D104+D107+D112+D115+D121++D124</f>
        <v>715763.89999999991</v>
      </c>
      <c r="E103" s="7">
        <f>E104+E107+E112+E115+E121++E124+E118</f>
        <v>1062417.8999999999</v>
      </c>
      <c r="F103" s="7">
        <f t="shared" ref="F103:G103" si="48">F104+F107+F112+F115+F121++F124+F118</f>
        <v>873285.77567999996</v>
      </c>
      <c r="G103" s="7">
        <f t="shared" si="48"/>
        <v>873285.77567999996</v>
      </c>
      <c r="H103" s="7">
        <f>H104+H107+H112+H115+H121++H124+H118</f>
        <v>873285.77567999996</v>
      </c>
      <c r="I103" s="7">
        <f t="shared" si="44"/>
        <v>82.197953901190871</v>
      </c>
      <c r="J103" s="7">
        <f t="shared" si="45"/>
        <v>100</v>
      </c>
    </row>
    <row r="104" spans="1:10" ht="89.25">
      <c r="A104" s="8" t="s">
        <v>334</v>
      </c>
      <c r="B104" s="1" t="s">
        <v>335</v>
      </c>
      <c r="C104" s="1" t="s">
        <v>0</v>
      </c>
      <c r="D104" s="9">
        <f>D105</f>
        <v>5697.4</v>
      </c>
      <c r="E104" s="9">
        <f>E105</f>
        <v>5697.4</v>
      </c>
      <c r="F104" s="9">
        <f t="shared" ref="F104:G105" si="49">F105</f>
        <v>5127.7</v>
      </c>
      <c r="G104" s="9">
        <f t="shared" si="49"/>
        <v>5127.7</v>
      </c>
      <c r="H104" s="9">
        <f>H105</f>
        <v>5127.7</v>
      </c>
      <c r="I104" s="9">
        <f t="shared" si="44"/>
        <v>90.000702074630539</v>
      </c>
      <c r="J104" s="9">
        <f t="shared" si="45"/>
        <v>100</v>
      </c>
    </row>
    <row r="105" spans="1:10" ht="25.5">
      <c r="A105" s="8" t="s">
        <v>64</v>
      </c>
      <c r="B105" s="1" t="s">
        <v>335</v>
      </c>
      <c r="C105" s="1" t="s">
        <v>65</v>
      </c>
      <c r="D105" s="9">
        <f>D106</f>
        <v>5697.4</v>
      </c>
      <c r="E105" s="9">
        <f>E106</f>
        <v>5697.4</v>
      </c>
      <c r="F105" s="9">
        <f t="shared" si="49"/>
        <v>5127.7</v>
      </c>
      <c r="G105" s="9">
        <f t="shared" si="49"/>
        <v>5127.7</v>
      </c>
      <c r="H105" s="9">
        <f>H106</f>
        <v>5127.7</v>
      </c>
      <c r="I105" s="9">
        <f t="shared" si="44"/>
        <v>90.000702074630539</v>
      </c>
      <c r="J105" s="9">
        <f t="shared" si="45"/>
        <v>100</v>
      </c>
    </row>
    <row r="106" spans="1:10" ht="25.5">
      <c r="A106" s="8" t="s">
        <v>66</v>
      </c>
      <c r="B106" s="1" t="s">
        <v>335</v>
      </c>
      <c r="C106" s="1" t="s">
        <v>67</v>
      </c>
      <c r="D106" s="9">
        <f>ведомство!G691</f>
        <v>5697.4</v>
      </c>
      <c r="E106" s="9">
        <f>ведомство!H691</f>
        <v>5697.4</v>
      </c>
      <c r="F106" s="9">
        <f>ведомство!I691</f>
        <v>5127.7</v>
      </c>
      <c r="G106" s="9">
        <f>ведомство!J691</f>
        <v>5127.7</v>
      </c>
      <c r="H106" s="9">
        <f>ведомство!K691</f>
        <v>5127.7</v>
      </c>
      <c r="I106" s="9">
        <f t="shared" si="44"/>
        <v>90.000702074630539</v>
      </c>
      <c r="J106" s="9">
        <f t="shared" si="45"/>
        <v>100</v>
      </c>
    </row>
    <row r="107" spans="1:10" ht="25.5">
      <c r="A107" s="8" t="s">
        <v>311</v>
      </c>
      <c r="B107" s="1" t="s">
        <v>312</v>
      </c>
      <c r="C107" s="1" t="s">
        <v>0</v>
      </c>
      <c r="D107" s="9">
        <f>D108+D110</f>
        <v>145183.1</v>
      </c>
      <c r="E107" s="9">
        <f>E108+E110</f>
        <v>145183.1</v>
      </c>
      <c r="F107" s="9">
        <f t="shared" ref="F107:G107" si="50">F108+F110</f>
        <v>130664.79999999999</v>
      </c>
      <c r="G107" s="9">
        <f t="shared" si="50"/>
        <v>130664.79999999999</v>
      </c>
      <c r="H107" s="9">
        <f>H108+H110</f>
        <v>130664.79999999999</v>
      </c>
      <c r="I107" s="9">
        <f t="shared" si="44"/>
        <v>90.000006887854013</v>
      </c>
      <c r="J107" s="9">
        <f t="shared" si="45"/>
        <v>100</v>
      </c>
    </row>
    <row r="108" spans="1:10" ht="25.5">
      <c r="A108" s="8" t="s">
        <v>64</v>
      </c>
      <c r="B108" s="1" t="s">
        <v>312</v>
      </c>
      <c r="C108" s="1" t="s">
        <v>65</v>
      </c>
      <c r="D108" s="9">
        <f>D109</f>
        <v>5635.4</v>
      </c>
      <c r="E108" s="9">
        <f>E109</f>
        <v>5635.3727500000005</v>
      </c>
      <c r="F108" s="9">
        <f t="shared" ref="F108:G108" si="51">F109</f>
        <v>1032.16165</v>
      </c>
      <c r="G108" s="9">
        <f t="shared" si="51"/>
        <v>1032.16165</v>
      </c>
      <c r="H108" s="9">
        <f>H109</f>
        <v>1032.16165</v>
      </c>
      <c r="I108" s="9">
        <f t="shared" si="44"/>
        <v>18.315765359088267</v>
      </c>
      <c r="J108" s="9">
        <f t="shared" si="45"/>
        <v>100</v>
      </c>
    </row>
    <row r="109" spans="1:10" ht="25.5">
      <c r="A109" s="8" t="s">
        <v>66</v>
      </c>
      <c r="B109" s="1" t="s">
        <v>312</v>
      </c>
      <c r="C109" s="1" t="s">
        <v>67</v>
      </c>
      <c r="D109" s="9">
        <f>ведомство!G589</f>
        <v>5635.4</v>
      </c>
      <c r="E109" s="9">
        <f>ведомство!H589</f>
        <v>5635.3727500000005</v>
      </c>
      <c r="F109" s="9">
        <f>ведомство!I589</f>
        <v>1032.16165</v>
      </c>
      <c r="G109" s="9">
        <f>ведомство!J589</f>
        <v>1032.16165</v>
      </c>
      <c r="H109" s="9">
        <f>ведомство!K589</f>
        <v>1032.16165</v>
      </c>
      <c r="I109" s="9">
        <f t="shared" si="44"/>
        <v>18.315765359088267</v>
      </c>
      <c r="J109" s="9">
        <f t="shared" si="45"/>
        <v>100</v>
      </c>
    </row>
    <row r="110" spans="1:10">
      <c r="A110" s="8" t="s">
        <v>68</v>
      </c>
      <c r="B110" s="1" t="s">
        <v>312</v>
      </c>
      <c r="C110" s="1" t="s">
        <v>69</v>
      </c>
      <c r="D110" s="9">
        <f>D111</f>
        <v>139547.70000000001</v>
      </c>
      <c r="E110" s="9">
        <f>E111</f>
        <v>139547.72725</v>
      </c>
      <c r="F110" s="9">
        <f t="shared" ref="F110:G110" si="52">F111</f>
        <v>129632.63834999999</v>
      </c>
      <c r="G110" s="9">
        <f t="shared" si="52"/>
        <v>129632.63834999999</v>
      </c>
      <c r="H110" s="9">
        <f>H111</f>
        <v>129632.63834999999</v>
      </c>
      <c r="I110" s="9">
        <f t="shared" si="44"/>
        <v>92.894840284831645</v>
      </c>
      <c r="J110" s="9">
        <f t="shared" si="45"/>
        <v>100</v>
      </c>
    </row>
    <row r="111" spans="1:10" ht="25.5">
      <c r="A111" s="8" t="s">
        <v>151</v>
      </c>
      <c r="B111" s="1" t="s">
        <v>312</v>
      </c>
      <c r="C111" s="1" t="s">
        <v>152</v>
      </c>
      <c r="D111" s="9">
        <f>ведомство!G591</f>
        <v>139547.70000000001</v>
      </c>
      <c r="E111" s="9">
        <f>ведомство!H591</f>
        <v>139547.72725</v>
      </c>
      <c r="F111" s="9">
        <f>ведомство!I591</f>
        <v>129632.63834999999</v>
      </c>
      <c r="G111" s="9">
        <f>ведомство!J591</f>
        <v>129632.63834999999</v>
      </c>
      <c r="H111" s="9">
        <f>ведомство!K591</f>
        <v>129632.63834999999</v>
      </c>
      <c r="I111" s="9">
        <f t="shared" si="44"/>
        <v>92.894840284831645</v>
      </c>
      <c r="J111" s="9">
        <f t="shared" si="45"/>
        <v>100</v>
      </c>
    </row>
    <row r="112" spans="1:10" ht="102">
      <c r="A112" s="8" t="s">
        <v>336</v>
      </c>
      <c r="B112" s="1" t="s">
        <v>337</v>
      </c>
      <c r="C112" s="1" t="s">
        <v>0</v>
      </c>
      <c r="D112" s="9">
        <f>D113</f>
        <v>7982.8</v>
      </c>
      <c r="E112" s="9">
        <f>E113</f>
        <v>7982.8</v>
      </c>
      <c r="F112" s="9">
        <f t="shared" ref="F112:G113" si="53">F113</f>
        <v>6319.9</v>
      </c>
      <c r="G112" s="9">
        <f t="shared" si="53"/>
        <v>6319.9</v>
      </c>
      <c r="H112" s="9">
        <f>H113</f>
        <v>6319.9</v>
      </c>
      <c r="I112" s="9">
        <f t="shared" si="44"/>
        <v>79.168963271032709</v>
      </c>
      <c r="J112" s="9">
        <f t="shared" si="45"/>
        <v>100</v>
      </c>
    </row>
    <row r="113" spans="1:10" ht="25.5">
      <c r="A113" s="8" t="s">
        <v>80</v>
      </c>
      <c r="B113" s="1" t="s">
        <v>337</v>
      </c>
      <c r="C113" s="1" t="s">
        <v>81</v>
      </c>
      <c r="D113" s="9">
        <f>D114</f>
        <v>7982.8</v>
      </c>
      <c r="E113" s="9">
        <f>E114</f>
        <v>7982.8</v>
      </c>
      <c r="F113" s="9">
        <f t="shared" si="53"/>
        <v>6319.9</v>
      </c>
      <c r="G113" s="9">
        <f t="shared" si="53"/>
        <v>6319.9</v>
      </c>
      <c r="H113" s="9">
        <f>H114</f>
        <v>6319.9</v>
      </c>
      <c r="I113" s="9">
        <f t="shared" si="44"/>
        <v>79.168963271032709</v>
      </c>
      <c r="J113" s="9">
        <f t="shared" si="45"/>
        <v>100</v>
      </c>
    </row>
    <row r="114" spans="1:10">
      <c r="A114" s="8" t="s">
        <v>271</v>
      </c>
      <c r="B114" s="1" t="s">
        <v>337</v>
      </c>
      <c r="C114" s="1" t="s">
        <v>272</v>
      </c>
      <c r="D114" s="9">
        <f>ведомство!G694</f>
        <v>7982.8</v>
      </c>
      <c r="E114" s="9">
        <f>ведомство!H694</f>
        <v>7982.8</v>
      </c>
      <c r="F114" s="9">
        <f>ведомство!I694</f>
        <v>6319.9</v>
      </c>
      <c r="G114" s="9">
        <f>ведомство!J694</f>
        <v>6319.9</v>
      </c>
      <c r="H114" s="9">
        <f>ведомство!K694</f>
        <v>6319.9</v>
      </c>
      <c r="I114" s="9">
        <f t="shared" si="44"/>
        <v>79.168963271032709</v>
      </c>
      <c r="J114" s="9">
        <f t="shared" si="45"/>
        <v>100</v>
      </c>
    </row>
    <row r="115" spans="1:10" ht="76.5">
      <c r="A115" s="8" t="s">
        <v>1124</v>
      </c>
      <c r="B115" s="24" t="s">
        <v>1123</v>
      </c>
      <c r="C115" s="1"/>
      <c r="D115" s="9">
        <f>D116</f>
        <v>0</v>
      </c>
      <c r="E115" s="9">
        <f>E116</f>
        <v>341321.4</v>
      </c>
      <c r="F115" s="9">
        <f t="shared" ref="F115:G116" si="54">F116</f>
        <v>283901.82387000002</v>
      </c>
      <c r="G115" s="9">
        <f t="shared" si="54"/>
        <v>283901.82387000002</v>
      </c>
      <c r="H115" s="9">
        <f>H116</f>
        <v>283901.82387000002</v>
      </c>
      <c r="I115" s="9">
        <f t="shared" si="44"/>
        <v>83.177270417266541</v>
      </c>
      <c r="J115" s="9">
        <f t="shared" si="45"/>
        <v>100</v>
      </c>
    </row>
    <row r="116" spans="1:10">
      <c r="A116" s="8" t="s">
        <v>68</v>
      </c>
      <c r="B116" s="24" t="s">
        <v>1123</v>
      </c>
      <c r="C116" s="1">
        <v>300</v>
      </c>
      <c r="D116" s="9">
        <f>D117</f>
        <v>0</v>
      </c>
      <c r="E116" s="9">
        <f>E117</f>
        <v>341321.4</v>
      </c>
      <c r="F116" s="9">
        <f t="shared" si="54"/>
        <v>283901.82387000002</v>
      </c>
      <c r="G116" s="9">
        <f t="shared" si="54"/>
        <v>283901.82387000002</v>
      </c>
      <c r="H116" s="9">
        <f>H117</f>
        <v>283901.82387000002</v>
      </c>
      <c r="I116" s="9">
        <f t="shared" si="44"/>
        <v>83.177270417266541</v>
      </c>
      <c r="J116" s="9">
        <f t="shared" si="45"/>
        <v>100</v>
      </c>
    </row>
    <row r="117" spans="1:10" ht="25.5">
      <c r="A117" s="8" t="s">
        <v>151</v>
      </c>
      <c r="B117" s="24" t="s">
        <v>1123</v>
      </c>
      <c r="C117" s="1">
        <v>320</v>
      </c>
      <c r="D117" s="9">
        <f>ведомство!G594</f>
        <v>0</v>
      </c>
      <c r="E117" s="9">
        <f>ведомство!H594</f>
        <v>341321.4</v>
      </c>
      <c r="F117" s="9">
        <f>ведомство!I594</f>
        <v>283901.82387000002</v>
      </c>
      <c r="G117" s="9">
        <f>ведомство!J594</f>
        <v>283901.82387000002</v>
      </c>
      <c r="H117" s="9">
        <f>ведомство!K594</f>
        <v>283901.82387000002</v>
      </c>
      <c r="I117" s="9">
        <f t="shared" si="44"/>
        <v>83.177270417266541</v>
      </c>
      <c r="J117" s="9">
        <f t="shared" si="45"/>
        <v>100</v>
      </c>
    </row>
    <row r="118" spans="1:10" s="91" customFormat="1" ht="25.5">
      <c r="A118" s="59" t="s">
        <v>76</v>
      </c>
      <c r="B118" s="77" t="s">
        <v>1255</v>
      </c>
      <c r="C118" s="28"/>
      <c r="D118" s="9">
        <v>0</v>
      </c>
      <c r="E118" s="9">
        <f>E119</f>
        <v>5332.6</v>
      </c>
      <c r="F118" s="9">
        <f t="shared" ref="F118:G119" si="55">F119</f>
        <v>0</v>
      </c>
      <c r="G118" s="9">
        <f t="shared" si="55"/>
        <v>0</v>
      </c>
      <c r="H118" s="9">
        <f>H119</f>
        <v>0</v>
      </c>
      <c r="I118" s="9">
        <f t="shared" ref="I118:I120" si="56">H118/E118*100</f>
        <v>0</v>
      </c>
      <c r="J118" s="9">
        <v>0</v>
      </c>
    </row>
    <row r="119" spans="1:10" s="91" customFormat="1" ht="25.5">
      <c r="A119" s="59" t="s">
        <v>80</v>
      </c>
      <c r="B119" s="77" t="s">
        <v>1255</v>
      </c>
      <c r="C119" s="28">
        <v>600</v>
      </c>
      <c r="D119" s="9">
        <v>0</v>
      </c>
      <c r="E119" s="9">
        <f>E120</f>
        <v>5332.6</v>
      </c>
      <c r="F119" s="9">
        <f t="shared" si="55"/>
        <v>0</v>
      </c>
      <c r="G119" s="9">
        <f t="shared" si="55"/>
        <v>0</v>
      </c>
      <c r="H119" s="9">
        <f>H120</f>
        <v>0</v>
      </c>
      <c r="I119" s="9">
        <f t="shared" si="56"/>
        <v>0</v>
      </c>
      <c r="J119" s="9">
        <v>0</v>
      </c>
    </row>
    <row r="120" spans="1:10" s="91" customFormat="1">
      <c r="A120" s="59" t="s">
        <v>271</v>
      </c>
      <c r="B120" s="77" t="s">
        <v>1255</v>
      </c>
      <c r="C120" s="28">
        <v>610</v>
      </c>
      <c r="D120" s="9">
        <v>0</v>
      </c>
      <c r="E120" s="9">
        <f>ведомство!H543+ведомство!H597</f>
        <v>5332.6</v>
      </c>
      <c r="F120" s="9">
        <f>ведомство!I543+ведомство!I597</f>
        <v>0</v>
      </c>
      <c r="G120" s="9">
        <f>ведомство!J543+ведомство!J597</f>
        <v>0</v>
      </c>
      <c r="H120" s="9">
        <f>ведомство!K543+ведомство!K597</f>
        <v>0</v>
      </c>
      <c r="I120" s="9">
        <f t="shared" si="56"/>
        <v>0</v>
      </c>
      <c r="J120" s="9">
        <v>0</v>
      </c>
    </row>
    <row r="121" spans="1:10">
      <c r="A121" s="8" t="s">
        <v>303</v>
      </c>
      <c r="B121" s="1" t="s">
        <v>338</v>
      </c>
      <c r="C121" s="1" t="s">
        <v>0</v>
      </c>
      <c r="D121" s="9">
        <f>D122</f>
        <v>29000</v>
      </c>
      <c r="E121" s="9">
        <f>E122</f>
        <v>29000</v>
      </c>
      <c r="F121" s="9">
        <f t="shared" ref="F121:G122" si="57">F122</f>
        <v>27857.200000000001</v>
      </c>
      <c r="G121" s="9">
        <f t="shared" si="57"/>
        <v>27857.200000000001</v>
      </c>
      <c r="H121" s="9">
        <f>H122</f>
        <v>27857.200000000001</v>
      </c>
      <c r="I121" s="9">
        <f t="shared" si="44"/>
        <v>96.05931034482758</v>
      </c>
      <c r="J121" s="9">
        <f t="shared" si="45"/>
        <v>100</v>
      </c>
    </row>
    <row r="122" spans="1:10" ht="25.5">
      <c r="A122" s="8" t="s">
        <v>64</v>
      </c>
      <c r="B122" s="1" t="s">
        <v>338</v>
      </c>
      <c r="C122" s="1" t="s">
        <v>65</v>
      </c>
      <c r="D122" s="9">
        <f>D123</f>
        <v>29000</v>
      </c>
      <c r="E122" s="9">
        <f>E123</f>
        <v>29000</v>
      </c>
      <c r="F122" s="9">
        <f t="shared" si="57"/>
        <v>27857.200000000001</v>
      </c>
      <c r="G122" s="9">
        <f t="shared" si="57"/>
        <v>27857.200000000001</v>
      </c>
      <c r="H122" s="9">
        <f>H123</f>
        <v>27857.200000000001</v>
      </c>
      <c r="I122" s="9">
        <f t="shared" si="44"/>
        <v>96.05931034482758</v>
      </c>
      <c r="J122" s="9">
        <f t="shared" si="45"/>
        <v>100</v>
      </c>
    </row>
    <row r="123" spans="1:10" ht="25.5">
      <c r="A123" s="8" t="s">
        <v>66</v>
      </c>
      <c r="B123" s="1" t="s">
        <v>338</v>
      </c>
      <c r="C123" s="1" t="s">
        <v>67</v>
      </c>
      <c r="D123" s="9">
        <f>ведомство!G697</f>
        <v>29000</v>
      </c>
      <c r="E123" s="9">
        <f>ведомство!H697</f>
        <v>29000</v>
      </c>
      <c r="F123" s="9">
        <f>ведомство!I697</f>
        <v>27857.200000000001</v>
      </c>
      <c r="G123" s="9">
        <f>ведомство!J697</f>
        <v>27857.200000000001</v>
      </c>
      <c r="H123" s="9">
        <f>ведомство!K697</f>
        <v>27857.200000000001</v>
      </c>
      <c r="I123" s="9">
        <f t="shared" si="44"/>
        <v>96.05931034482758</v>
      </c>
      <c r="J123" s="9">
        <f t="shared" si="45"/>
        <v>100</v>
      </c>
    </row>
    <row r="124" spans="1:10" ht="25.5">
      <c r="A124" s="8" t="s">
        <v>313</v>
      </c>
      <c r="B124" s="1" t="s">
        <v>314</v>
      </c>
      <c r="C124" s="1" t="s">
        <v>0</v>
      </c>
      <c r="D124" s="9">
        <f>D125+D127</f>
        <v>527900.6</v>
      </c>
      <c r="E124" s="9">
        <f>E125+E127</f>
        <v>527900.6</v>
      </c>
      <c r="F124" s="9">
        <f t="shared" ref="F124:G124" si="58">F125+F127</f>
        <v>419414.35181000002</v>
      </c>
      <c r="G124" s="9">
        <f t="shared" si="58"/>
        <v>419414.35181000002</v>
      </c>
      <c r="H124" s="9">
        <f>H125+H127</f>
        <v>419414.35181000002</v>
      </c>
      <c r="I124" s="9">
        <f t="shared" si="44"/>
        <v>79.449493296654722</v>
      </c>
      <c r="J124" s="9">
        <f t="shared" si="45"/>
        <v>100</v>
      </c>
    </row>
    <row r="125" spans="1:10" ht="25.5">
      <c r="A125" s="8" t="s">
        <v>64</v>
      </c>
      <c r="B125" s="1" t="s">
        <v>314</v>
      </c>
      <c r="C125" s="1" t="s">
        <v>65</v>
      </c>
      <c r="D125" s="9">
        <f>D126</f>
        <v>10236</v>
      </c>
      <c r="E125" s="9">
        <f>E126</f>
        <v>10236</v>
      </c>
      <c r="F125" s="9">
        <f t="shared" ref="F125:G125" si="59">F126</f>
        <v>5325.2404900000001</v>
      </c>
      <c r="G125" s="9">
        <f t="shared" si="59"/>
        <v>5325.2404900000001</v>
      </c>
      <c r="H125" s="9">
        <f>H126</f>
        <v>5325.2404900000001</v>
      </c>
      <c r="I125" s="9">
        <f t="shared" si="44"/>
        <v>52.024623778819858</v>
      </c>
      <c r="J125" s="9">
        <f t="shared" si="45"/>
        <v>100</v>
      </c>
    </row>
    <row r="126" spans="1:10" ht="25.5">
      <c r="A126" s="8" t="s">
        <v>66</v>
      </c>
      <c r="B126" s="1" t="s">
        <v>314</v>
      </c>
      <c r="C126" s="1" t="s">
        <v>67</v>
      </c>
      <c r="D126" s="9">
        <f>ведомство!G600</f>
        <v>10236</v>
      </c>
      <c r="E126" s="9">
        <f>ведомство!H600</f>
        <v>10236</v>
      </c>
      <c r="F126" s="9">
        <f>ведомство!I600</f>
        <v>5325.2404900000001</v>
      </c>
      <c r="G126" s="9">
        <f>ведомство!J600</f>
        <v>5325.2404900000001</v>
      </c>
      <c r="H126" s="9">
        <f>ведомство!K600</f>
        <v>5325.2404900000001</v>
      </c>
      <c r="I126" s="9">
        <f t="shared" si="44"/>
        <v>52.024623778819858</v>
      </c>
      <c r="J126" s="9">
        <f t="shared" si="45"/>
        <v>100</v>
      </c>
    </row>
    <row r="127" spans="1:10">
      <c r="A127" s="8" t="s">
        <v>68</v>
      </c>
      <c r="B127" s="1" t="s">
        <v>314</v>
      </c>
      <c r="C127" s="1" t="s">
        <v>69</v>
      </c>
      <c r="D127" s="9">
        <f>D128</f>
        <v>517664.6</v>
      </c>
      <c r="E127" s="9">
        <f>E128</f>
        <v>517664.6</v>
      </c>
      <c r="F127" s="9">
        <f t="shared" ref="F127:G127" si="60">F128</f>
        <v>414089.11132000003</v>
      </c>
      <c r="G127" s="9">
        <f t="shared" si="60"/>
        <v>414089.11132000003</v>
      </c>
      <c r="H127" s="9">
        <f>H128</f>
        <v>414089.11132000003</v>
      </c>
      <c r="I127" s="9">
        <f t="shared" si="44"/>
        <v>79.991776783654913</v>
      </c>
      <c r="J127" s="9">
        <f t="shared" si="45"/>
        <v>100</v>
      </c>
    </row>
    <row r="128" spans="1:10" ht="25.5">
      <c r="A128" s="8" t="s">
        <v>151</v>
      </c>
      <c r="B128" s="1" t="s">
        <v>314</v>
      </c>
      <c r="C128" s="1" t="s">
        <v>152</v>
      </c>
      <c r="D128" s="9">
        <f>ведомство!G602</f>
        <v>517664.6</v>
      </c>
      <c r="E128" s="9">
        <f>ведомство!H602</f>
        <v>517664.6</v>
      </c>
      <c r="F128" s="9">
        <f>ведомство!I602</f>
        <v>414089.11132000003</v>
      </c>
      <c r="G128" s="9">
        <f>ведомство!J602</f>
        <v>414089.11132000003</v>
      </c>
      <c r="H128" s="9">
        <f>ведомство!K602</f>
        <v>414089.11132000003</v>
      </c>
      <c r="I128" s="9">
        <f t="shared" si="44"/>
        <v>79.991776783654913</v>
      </c>
      <c r="J128" s="9">
        <f t="shared" si="45"/>
        <v>100</v>
      </c>
    </row>
    <row r="129" spans="1:10">
      <c r="A129" s="4" t="s">
        <v>0</v>
      </c>
      <c r="B129" s="17" t="s">
        <v>0</v>
      </c>
      <c r="C129" s="5" t="s">
        <v>0</v>
      </c>
      <c r="D129" s="7" t="s">
        <v>0</v>
      </c>
      <c r="E129" s="7" t="s">
        <v>0</v>
      </c>
      <c r="F129" s="7" t="s">
        <v>0</v>
      </c>
      <c r="G129" s="7" t="s">
        <v>0</v>
      </c>
      <c r="H129" s="7" t="s">
        <v>0</v>
      </c>
      <c r="I129" s="7"/>
      <c r="J129" s="7"/>
    </row>
    <row r="130" spans="1:10" ht="25.5">
      <c r="A130" s="4" t="s">
        <v>138</v>
      </c>
      <c r="B130" s="5" t="s">
        <v>139</v>
      </c>
      <c r="C130" s="5" t="s">
        <v>0</v>
      </c>
      <c r="D130" s="7">
        <f>D131+D136+D146+D155+D158+D161</f>
        <v>8079108</v>
      </c>
      <c r="E130" s="7">
        <f>E131+E136+E146+E155+E158+E161</f>
        <v>8084854.6844800012</v>
      </c>
      <c r="F130" s="7">
        <f t="shared" ref="F130:G130" si="61">F131+F136+F146+F155+F158+F161</f>
        <v>6053031.4279399998</v>
      </c>
      <c r="G130" s="7">
        <f t="shared" si="61"/>
        <v>6053031.4279399998</v>
      </c>
      <c r="H130" s="7">
        <f>H131+H136+H146+H155+H158+H161</f>
        <v>6044152.49553</v>
      </c>
      <c r="I130" s="7">
        <f t="shared" si="44"/>
        <v>74.758950301637299</v>
      </c>
      <c r="J130" s="7">
        <f t="shared" si="45"/>
        <v>99.853314285317992</v>
      </c>
    </row>
    <row r="131" spans="1:10" ht="63.75">
      <c r="A131" s="8" t="s">
        <v>339</v>
      </c>
      <c r="B131" s="1" t="s">
        <v>340</v>
      </c>
      <c r="C131" s="1" t="s">
        <v>0</v>
      </c>
      <c r="D131" s="9">
        <f>D132+D134</f>
        <v>4389.1000000000004</v>
      </c>
      <c r="E131" s="9">
        <f>E132+E134</f>
        <v>4389.1000000000004</v>
      </c>
      <c r="F131" s="9">
        <f t="shared" ref="F131:G131" si="62">F132+F134</f>
        <v>3453.1881700000004</v>
      </c>
      <c r="G131" s="9">
        <f t="shared" si="62"/>
        <v>3453.1881700000004</v>
      </c>
      <c r="H131" s="9">
        <f>H132+H134</f>
        <v>3453.1881700000004</v>
      </c>
      <c r="I131" s="9">
        <f t="shared" si="44"/>
        <v>78.676452347861741</v>
      </c>
      <c r="J131" s="9">
        <f t="shared" si="45"/>
        <v>100</v>
      </c>
    </row>
    <row r="132" spans="1:10" ht="51">
      <c r="A132" s="8" t="s">
        <v>60</v>
      </c>
      <c r="B132" s="1" t="s">
        <v>340</v>
      </c>
      <c r="C132" s="1" t="s">
        <v>61</v>
      </c>
      <c r="D132" s="9">
        <f>D133</f>
        <v>3942.5</v>
      </c>
      <c r="E132" s="9">
        <f>E133</f>
        <v>3942.5</v>
      </c>
      <c r="F132" s="9">
        <f t="shared" ref="F132:G132" si="63">F133</f>
        <v>3115.1201700000001</v>
      </c>
      <c r="G132" s="9">
        <f t="shared" si="63"/>
        <v>3115.1201700000001</v>
      </c>
      <c r="H132" s="9">
        <f>H133</f>
        <v>3115.1201700000001</v>
      </c>
      <c r="I132" s="9">
        <f t="shared" si="44"/>
        <v>79.013828027901084</v>
      </c>
      <c r="J132" s="9">
        <f t="shared" si="45"/>
        <v>100</v>
      </c>
    </row>
    <row r="133" spans="1:10" ht="25.5">
      <c r="A133" s="8" t="s">
        <v>62</v>
      </c>
      <c r="B133" s="1" t="s">
        <v>340</v>
      </c>
      <c r="C133" s="1" t="s">
        <v>63</v>
      </c>
      <c r="D133" s="9">
        <f>ведомство!G701</f>
        <v>3942.5</v>
      </c>
      <c r="E133" s="9">
        <f>ведомство!H701</f>
        <v>3942.5</v>
      </c>
      <c r="F133" s="9">
        <f>ведомство!I701</f>
        <v>3115.1201700000001</v>
      </c>
      <c r="G133" s="9">
        <f>ведомство!J701</f>
        <v>3115.1201700000001</v>
      </c>
      <c r="H133" s="9">
        <f>ведомство!K701</f>
        <v>3115.1201700000001</v>
      </c>
      <c r="I133" s="9">
        <f t="shared" si="44"/>
        <v>79.013828027901084</v>
      </c>
      <c r="J133" s="9">
        <f t="shared" si="45"/>
        <v>100</v>
      </c>
    </row>
    <row r="134" spans="1:10" ht="25.5">
      <c r="A134" s="8" t="s">
        <v>64</v>
      </c>
      <c r="B134" s="1" t="s">
        <v>340</v>
      </c>
      <c r="C134" s="1" t="s">
        <v>65</v>
      </c>
      <c r="D134" s="9">
        <f>D135</f>
        <v>446.6</v>
      </c>
      <c r="E134" s="9">
        <f>E135</f>
        <v>446.6</v>
      </c>
      <c r="F134" s="9">
        <f t="shared" ref="F134:G134" si="64">F135</f>
        <v>338.06799999999998</v>
      </c>
      <c r="G134" s="9">
        <f t="shared" si="64"/>
        <v>338.06799999999998</v>
      </c>
      <c r="H134" s="9">
        <f>H135</f>
        <v>338.06799999999998</v>
      </c>
      <c r="I134" s="9">
        <f t="shared" si="44"/>
        <v>75.69816390506044</v>
      </c>
      <c r="J134" s="9">
        <f t="shared" si="45"/>
        <v>100</v>
      </c>
    </row>
    <row r="135" spans="1:10" ht="25.5">
      <c r="A135" s="8" t="s">
        <v>66</v>
      </c>
      <c r="B135" s="1" t="s">
        <v>340</v>
      </c>
      <c r="C135" s="1" t="s">
        <v>67</v>
      </c>
      <c r="D135" s="9">
        <f>ведомство!G703</f>
        <v>446.6</v>
      </c>
      <c r="E135" s="9">
        <f>ведомство!H703</f>
        <v>446.6</v>
      </c>
      <c r="F135" s="9">
        <f>ведомство!I703</f>
        <v>338.06799999999998</v>
      </c>
      <c r="G135" s="9">
        <f>ведомство!J703</f>
        <v>338.06799999999998</v>
      </c>
      <c r="H135" s="9">
        <f>ведомство!K703</f>
        <v>338.06799999999998</v>
      </c>
      <c r="I135" s="9">
        <f t="shared" si="44"/>
        <v>75.69816390506044</v>
      </c>
      <c r="J135" s="9">
        <f t="shared" si="45"/>
        <v>100</v>
      </c>
    </row>
    <row r="136" spans="1:10" ht="25.5">
      <c r="A136" s="8" t="s">
        <v>58</v>
      </c>
      <c r="B136" s="1" t="s">
        <v>341</v>
      </c>
      <c r="C136" s="1" t="s">
        <v>0</v>
      </c>
      <c r="D136" s="9">
        <f>D137+D139+D141+D143</f>
        <v>84966.900000000009</v>
      </c>
      <c r="E136" s="9">
        <f>E137+E139+E141+E143</f>
        <v>84966.900000000009</v>
      </c>
      <c r="F136" s="9">
        <f t="shared" ref="F136:G136" si="65">F137+F139+F141+F143</f>
        <v>67043.577999999994</v>
      </c>
      <c r="G136" s="9">
        <f t="shared" si="65"/>
        <v>67043.577999999994</v>
      </c>
      <c r="H136" s="9">
        <f>H137+H139+H141+H143</f>
        <v>58828.543859999991</v>
      </c>
      <c r="I136" s="9">
        <f t="shared" si="44"/>
        <v>69.237013307535037</v>
      </c>
      <c r="J136" s="9">
        <f t="shared" si="45"/>
        <v>87.746724764600117</v>
      </c>
    </row>
    <row r="137" spans="1:10" ht="51">
      <c r="A137" s="8" t="s">
        <v>60</v>
      </c>
      <c r="B137" s="1" t="s">
        <v>341</v>
      </c>
      <c r="C137" s="1" t="s">
        <v>61</v>
      </c>
      <c r="D137" s="9">
        <f>D138</f>
        <v>81266.8</v>
      </c>
      <c r="E137" s="9">
        <f>E138</f>
        <v>81266.8</v>
      </c>
      <c r="F137" s="9">
        <f t="shared" ref="F137:G137" si="66">F138</f>
        <v>64273.5</v>
      </c>
      <c r="G137" s="9">
        <f t="shared" si="66"/>
        <v>64273.5</v>
      </c>
      <c r="H137" s="9">
        <f>H138</f>
        <v>56553.010709999995</v>
      </c>
      <c r="I137" s="9">
        <f t="shared" si="44"/>
        <v>69.589316559775938</v>
      </c>
      <c r="J137" s="9">
        <f t="shared" si="45"/>
        <v>87.988067726201308</v>
      </c>
    </row>
    <row r="138" spans="1:10" ht="25.5">
      <c r="A138" s="8" t="s">
        <v>62</v>
      </c>
      <c r="B138" s="1" t="s">
        <v>341</v>
      </c>
      <c r="C138" s="1" t="s">
        <v>63</v>
      </c>
      <c r="D138" s="9">
        <f>ведомство!G706</f>
        <v>81266.8</v>
      </c>
      <c r="E138" s="9">
        <f>ведомство!H706</f>
        <v>81266.8</v>
      </c>
      <c r="F138" s="9">
        <f>ведомство!I706</f>
        <v>64273.5</v>
      </c>
      <c r="G138" s="9">
        <f>ведомство!J706</f>
        <v>64273.5</v>
      </c>
      <c r="H138" s="9">
        <f>ведомство!K706</f>
        <v>56553.010709999995</v>
      </c>
      <c r="I138" s="9">
        <f t="shared" si="44"/>
        <v>69.589316559775938</v>
      </c>
      <c r="J138" s="9">
        <f t="shared" si="45"/>
        <v>87.988067726201308</v>
      </c>
    </row>
    <row r="139" spans="1:10" ht="25.5">
      <c r="A139" s="8" t="s">
        <v>64</v>
      </c>
      <c r="B139" s="1" t="s">
        <v>341</v>
      </c>
      <c r="C139" s="1" t="s">
        <v>65</v>
      </c>
      <c r="D139" s="9">
        <f>D140</f>
        <v>3522.1</v>
      </c>
      <c r="E139" s="9">
        <f>E140</f>
        <v>3522.1</v>
      </c>
      <c r="F139" s="9">
        <f t="shared" ref="F139:G139" si="67">F140</f>
        <v>2681.578</v>
      </c>
      <c r="G139" s="9">
        <f t="shared" si="67"/>
        <v>2681.578</v>
      </c>
      <c r="H139" s="9">
        <f>H140</f>
        <v>2210.4331499999998</v>
      </c>
      <c r="I139" s="9">
        <f t="shared" si="44"/>
        <v>62.758954884869823</v>
      </c>
      <c r="J139" s="9">
        <f t="shared" si="45"/>
        <v>82.43031341993408</v>
      </c>
    </row>
    <row r="140" spans="1:10" ht="25.5">
      <c r="A140" s="8" t="s">
        <v>66</v>
      </c>
      <c r="B140" s="1" t="s">
        <v>341</v>
      </c>
      <c r="C140" s="1" t="s">
        <v>67</v>
      </c>
      <c r="D140" s="9">
        <f>ведомство!G708</f>
        <v>3522.1</v>
      </c>
      <c r="E140" s="9">
        <f>ведомство!H708</f>
        <v>3522.1</v>
      </c>
      <c r="F140" s="9">
        <f>ведомство!I708</f>
        <v>2681.578</v>
      </c>
      <c r="G140" s="9">
        <f>ведомство!J708</f>
        <v>2681.578</v>
      </c>
      <c r="H140" s="9">
        <f>ведомство!K708</f>
        <v>2210.4331499999998</v>
      </c>
      <c r="I140" s="9">
        <f t="shared" si="44"/>
        <v>62.758954884869823</v>
      </c>
      <c r="J140" s="9">
        <f t="shared" si="45"/>
        <v>82.43031341993408</v>
      </c>
    </row>
    <row r="141" spans="1:10">
      <c r="A141" s="8" t="s">
        <v>68</v>
      </c>
      <c r="B141" s="1" t="s">
        <v>341</v>
      </c>
      <c r="C141" s="1" t="s">
        <v>69</v>
      </c>
      <c r="D141" s="9">
        <f>D142</f>
        <v>60</v>
      </c>
      <c r="E141" s="9">
        <f>E142</f>
        <v>60</v>
      </c>
      <c r="F141" s="9">
        <f t="shared" ref="F141:G141" si="68">F142</f>
        <v>60</v>
      </c>
      <c r="G141" s="9">
        <f t="shared" si="68"/>
        <v>60</v>
      </c>
      <c r="H141" s="9">
        <f>H142</f>
        <v>60</v>
      </c>
      <c r="I141" s="9">
        <f t="shared" si="44"/>
        <v>100</v>
      </c>
      <c r="J141" s="9">
        <f t="shared" si="45"/>
        <v>100</v>
      </c>
    </row>
    <row r="142" spans="1:10">
      <c r="A142" s="8" t="s">
        <v>70</v>
      </c>
      <c r="B142" s="1" t="s">
        <v>341</v>
      </c>
      <c r="C142" s="1" t="s">
        <v>71</v>
      </c>
      <c r="D142" s="9">
        <f>ведомство!G710</f>
        <v>60</v>
      </c>
      <c r="E142" s="9">
        <f>ведомство!H710</f>
        <v>60</v>
      </c>
      <c r="F142" s="9">
        <f>ведомство!I710</f>
        <v>60</v>
      </c>
      <c r="G142" s="9">
        <f>ведомство!J710</f>
        <v>60</v>
      </c>
      <c r="H142" s="9">
        <f>ведомство!K710</f>
        <v>60</v>
      </c>
      <c r="I142" s="9">
        <f t="shared" si="44"/>
        <v>100</v>
      </c>
      <c r="J142" s="9">
        <f t="shared" si="45"/>
        <v>100</v>
      </c>
    </row>
    <row r="143" spans="1:10">
      <c r="A143" s="8" t="s">
        <v>72</v>
      </c>
      <c r="B143" s="1" t="s">
        <v>341</v>
      </c>
      <c r="C143" s="1" t="s">
        <v>73</v>
      </c>
      <c r="D143" s="9">
        <f>D144+D145</f>
        <v>118</v>
      </c>
      <c r="E143" s="9">
        <f>E144+E145</f>
        <v>118</v>
      </c>
      <c r="F143" s="9">
        <f t="shared" ref="F143:G143" si="69">F144+F145</f>
        <v>28.5</v>
      </c>
      <c r="G143" s="9">
        <f t="shared" si="69"/>
        <v>28.5</v>
      </c>
      <c r="H143" s="9">
        <f>H144+H145</f>
        <v>5.0999999999999996</v>
      </c>
      <c r="I143" s="9">
        <f t="shared" si="44"/>
        <v>4.3220338983050848</v>
      </c>
      <c r="J143" s="9">
        <f t="shared" si="45"/>
        <v>17.894736842105264</v>
      </c>
    </row>
    <row r="144" spans="1:10">
      <c r="A144" s="8" t="s">
        <v>84</v>
      </c>
      <c r="B144" s="1" t="s">
        <v>341</v>
      </c>
      <c r="C144" s="1" t="s">
        <v>85</v>
      </c>
      <c r="D144" s="9">
        <f>ведомство!G712</f>
        <v>90</v>
      </c>
      <c r="E144" s="9">
        <f>ведомство!H712</f>
        <v>90</v>
      </c>
      <c r="F144" s="9">
        <f>ведомство!I712</f>
        <v>7.5</v>
      </c>
      <c r="G144" s="9">
        <f>ведомство!J712</f>
        <v>7.5</v>
      </c>
      <c r="H144" s="9">
        <f>ведомство!K712</f>
        <v>0</v>
      </c>
      <c r="I144" s="9">
        <f t="shared" si="44"/>
        <v>0</v>
      </c>
      <c r="J144" s="9">
        <f t="shared" si="45"/>
        <v>0</v>
      </c>
    </row>
    <row r="145" spans="1:10">
      <c r="A145" s="8" t="s">
        <v>74</v>
      </c>
      <c r="B145" s="1" t="s">
        <v>341</v>
      </c>
      <c r="C145" s="1" t="s">
        <v>75</v>
      </c>
      <c r="D145" s="9">
        <f>ведомство!G713</f>
        <v>28</v>
      </c>
      <c r="E145" s="9">
        <f>ведомство!H713</f>
        <v>28</v>
      </c>
      <c r="F145" s="9">
        <f>ведомство!I713</f>
        <v>21</v>
      </c>
      <c r="G145" s="9">
        <f>ведомство!J713</f>
        <v>21</v>
      </c>
      <c r="H145" s="9">
        <f>ведомство!K713</f>
        <v>5.0999999999999996</v>
      </c>
      <c r="I145" s="9">
        <f t="shared" si="44"/>
        <v>18.214285714285712</v>
      </c>
      <c r="J145" s="9">
        <f t="shared" si="45"/>
        <v>24.285714285714281</v>
      </c>
    </row>
    <row r="146" spans="1:10" ht="25.5">
      <c r="A146" s="8" t="s">
        <v>76</v>
      </c>
      <c r="B146" s="1" t="s">
        <v>140</v>
      </c>
      <c r="C146" s="1" t="s">
        <v>0</v>
      </c>
      <c r="D146" s="9">
        <f>D147+D149+D151+D153</f>
        <v>202751.6</v>
      </c>
      <c r="E146" s="9">
        <f>E147+E149+E151+E153</f>
        <v>202751.61600000001</v>
      </c>
      <c r="F146" s="9">
        <f t="shared" ref="F146:G146" si="70">F147+F149+F151+F153</f>
        <v>138214.63504999998</v>
      </c>
      <c r="G146" s="9">
        <f t="shared" si="70"/>
        <v>138214.63504999998</v>
      </c>
      <c r="H146" s="9">
        <f>H147+H149+H151+H153</f>
        <v>137716.91469999999</v>
      </c>
      <c r="I146" s="9">
        <f t="shared" si="44"/>
        <v>67.923954154821629</v>
      </c>
      <c r="J146" s="9">
        <f t="shared" si="45"/>
        <v>99.639893163397687</v>
      </c>
    </row>
    <row r="147" spans="1:10" ht="51">
      <c r="A147" s="8" t="s">
        <v>60</v>
      </c>
      <c r="B147" s="1" t="s">
        <v>140</v>
      </c>
      <c r="C147" s="1" t="s">
        <v>61</v>
      </c>
      <c r="D147" s="9">
        <f>D148</f>
        <v>19101.5</v>
      </c>
      <c r="E147" s="9">
        <f>E148</f>
        <v>19101.5</v>
      </c>
      <c r="F147" s="9">
        <f t="shared" ref="F147:G147" si="71">F148</f>
        <v>12663.9</v>
      </c>
      <c r="G147" s="9">
        <f t="shared" si="71"/>
        <v>12663.9</v>
      </c>
      <c r="H147" s="9">
        <f>H148</f>
        <v>12280.218490000001</v>
      </c>
      <c r="I147" s="9">
        <f t="shared" si="44"/>
        <v>64.289288746957055</v>
      </c>
      <c r="J147" s="9">
        <f t="shared" si="45"/>
        <v>96.970273691358912</v>
      </c>
    </row>
    <row r="148" spans="1:10">
      <c r="A148" s="8" t="s">
        <v>78</v>
      </c>
      <c r="B148" s="1" t="s">
        <v>140</v>
      </c>
      <c r="C148" s="1" t="s">
        <v>79</v>
      </c>
      <c r="D148" s="9">
        <f>ведомство!G716</f>
        <v>19101.5</v>
      </c>
      <c r="E148" s="9">
        <f>ведомство!H716</f>
        <v>19101.5</v>
      </c>
      <c r="F148" s="9">
        <f>ведомство!I716</f>
        <v>12663.9</v>
      </c>
      <c r="G148" s="9">
        <f>ведомство!J716</f>
        <v>12663.9</v>
      </c>
      <c r="H148" s="9">
        <f>ведомство!K716</f>
        <v>12280.218490000001</v>
      </c>
      <c r="I148" s="9">
        <f t="shared" si="44"/>
        <v>64.289288746957055</v>
      </c>
      <c r="J148" s="9">
        <f t="shared" si="45"/>
        <v>96.970273691358912</v>
      </c>
    </row>
    <row r="149" spans="1:10" ht="25.5">
      <c r="A149" s="8" t="s">
        <v>64</v>
      </c>
      <c r="B149" s="1" t="s">
        <v>140</v>
      </c>
      <c r="C149" s="1" t="s">
        <v>65</v>
      </c>
      <c r="D149" s="9">
        <f>D150</f>
        <v>36715.299999999996</v>
      </c>
      <c r="E149" s="9">
        <f>E150</f>
        <v>36715.315999999999</v>
      </c>
      <c r="F149" s="9">
        <f t="shared" ref="F149:G149" si="72">F150</f>
        <v>25247.95</v>
      </c>
      <c r="G149" s="9">
        <f t="shared" si="72"/>
        <v>25247.95</v>
      </c>
      <c r="H149" s="9">
        <f>H150</f>
        <v>25138.685400000002</v>
      </c>
      <c r="I149" s="9">
        <f t="shared" si="44"/>
        <v>68.469206148191674</v>
      </c>
      <c r="J149" s="9">
        <f t="shared" si="45"/>
        <v>99.567233775415431</v>
      </c>
    </row>
    <row r="150" spans="1:10" ht="25.5">
      <c r="A150" s="8" t="s">
        <v>66</v>
      </c>
      <c r="B150" s="1" t="s">
        <v>140</v>
      </c>
      <c r="C150" s="1" t="s">
        <v>67</v>
      </c>
      <c r="D150" s="9">
        <f>ведомство!G193+ведомство!G718</f>
        <v>36715.299999999996</v>
      </c>
      <c r="E150" s="9">
        <f>ведомство!H193+ведомство!H718</f>
        <v>36715.315999999999</v>
      </c>
      <c r="F150" s="9">
        <f>ведомство!I193+ведомство!I718</f>
        <v>25247.95</v>
      </c>
      <c r="G150" s="9">
        <f>ведомство!J193+ведомство!J718</f>
        <v>25247.95</v>
      </c>
      <c r="H150" s="9">
        <f>ведомство!K193+ведомство!K718</f>
        <v>25138.685400000002</v>
      </c>
      <c r="I150" s="9">
        <f t="shared" si="44"/>
        <v>68.469206148191674</v>
      </c>
      <c r="J150" s="9">
        <f t="shared" si="45"/>
        <v>99.567233775415431</v>
      </c>
    </row>
    <row r="151" spans="1:10" ht="25.5">
      <c r="A151" s="8" t="s">
        <v>80</v>
      </c>
      <c r="B151" s="1" t="s">
        <v>140</v>
      </c>
      <c r="C151" s="1" t="s">
        <v>81</v>
      </c>
      <c r="D151" s="9">
        <f>D152</f>
        <v>144982.1</v>
      </c>
      <c r="E151" s="9">
        <f>E152</f>
        <v>144982.1</v>
      </c>
      <c r="F151" s="9">
        <f t="shared" ref="F151:G151" si="73">F152</f>
        <v>98975.3</v>
      </c>
      <c r="G151" s="9">
        <f t="shared" si="73"/>
        <v>98975.3</v>
      </c>
      <c r="H151" s="9">
        <f>H152</f>
        <v>98975.3</v>
      </c>
      <c r="I151" s="9">
        <f t="shared" si="44"/>
        <v>68.267255061142023</v>
      </c>
      <c r="J151" s="9">
        <f t="shared" si="45"/>
        <v>100</v>
      </c>
    </row>
    <row r="152" spans="1:10">
      <c r="A152" s="8" t="s">
        <v>271</v>
      </c>
      <c r="B152" s="1" t="s">
        <v>140</v>
      </c>
      <c r="C152" s="1" t="s">
        <v>272</v>
      </c>
      <c r="D152" s="9">
        <f>ведомство!G720</f>
        <v>144982.1</v>
      </c>
      <c r="E152" s="9">
        <f>ведомство!H720</f>
        <v>144982.1</v>
      </c>
      <c r="F152" s="9">
        <f>ведомство!I720</f>
        <v>98975.3</v>
      </c>
      <c r="G152" s="9">
        <f>ведомство!J720</f>
        <v>98975.3</v>
      </c>
      <c r="H152" s="9">
        <f>ведомство!K720</f>
        <v>98975.3</v>
      </c>
      <c r="I152" s="9">
        <f t="shared" si="44"/>
        <v>68.267255061142023</v>
      </c>
      <c r="J152" s="9">
        <f t="shared" si="45"/>
        <v>100</v>
      </c>
    </row>
    <row r="153" spans="1:10">
      <c r="A153" s="8" t="s">
        <v>72</v>
      </c>
      <c r="B153" s="1" t="s">
        <v>140</v>
      </c>
      <c r="C153" s="1" t="s">
        <v>73</v>
      </c>
      <c r="D153" s="9">
        <f>D154</f>
        <v>1952.7</v>
      </c>
      <c r="E153" s="9">
        <f>E154</f>
        <v>1952.6999999999998</v>
      </c>
      <c r="F153" s="9">
        <f t="shared" ref="F153:G153" si="74">F154</f>
        <v>1327.48505</v>
      </c>
      <c r="G153" s="9">
        <f t="shared" si="74"/>
        <v>1327.48505</v>
      </c>
      <c r="H153" s="9">
        <f>H154</f>
        <v>1322.71081</v>
      </c>
      <c r="I153" s="9">
        <f t="shared" si="44"/>
        <v>67.737533159215459</v>
      </c>
      <c r="J153" s="9">
        <f t="shared" si="45"/>
        <v>99.640354518493439</v>
      </c>
    </row>
    <row r="154" spans="1:10">
      <c r="A154" s="8" t="s">
        <v>74</v>
      </c>
      <c r="B154" s="1" t="s">
        <v>140</v>
      </c>
      <c r="C154" s="1" t="s">
        <v>75</v>
      </c>
      <c r="D154" s="9">
        <f>ведомство!G722</f>
        <v>1952.7</v>
      </c>
      <c r="E154" s="9">
        <f>ведомство!H722</f>
        <v>1952.6999999999998</v>
      </c>
      <c r="F154" s="9">
        <f>ведомство!I722</f>
        <v>1327.48505</v>
      </c>
      <c r="G154" s="9">
        <f>ведомство!J722</f>
        <v>1327.48505</v>
      </c>
      <c r="H154" s="9">
        <f>ведомство!K722</f>
        <v>1322.71081</v>
      </c>
      <c r="I154" s="9">
        <f t="shared" si="44"/>
        <v>67.737533159215459</v>
      </c>
      <c r="J154" s="9">
        <f t="shared" si="45"/>
        <v>99.640354518493439</v>
      </c>
    </row>
    <row r="155" spans="1:10" ht="38.25">
      <c r="A155" s="8" t="s">
        <v>37</v>
      </c>
      <c r="B155" s="1" t="s">
        <v>141</v>
      </c>
      <c r="C155" s="1" t="s">
        <v>0</v>
      </c>
      <c r="D155" s="9">
        <f>D156</f>
        <v>1785</v>
      </c>
      <c r="E155" s="9">
        <f>E156</f>
        <v>1785</v>
      </c>
      <c r="F155" s="9">
        <f t="shared" ref="F155:G156" si="75">F156</f>
        <v>1785</v>
      </c>
      <c r="G155" s="9">
        <f t="shared" si="75"/>
        <v>1785</v>
      </c>
      <c r="H155" s="9">
        <f>H156</f>
        <v>1785</v>
      </c>
      <c r="I155" s="9">
        <f t="shared" si="44"/>
        <v>100</v>
      </c>
      <c r="J155" s="9">
        <f t="shared" si="45"/>
        <v>100</v>
      </c>
    </row>
    <row r="156" spans="1:10" ht="25.5">
      <c r="A156" s="8" t="s">
        <v>39</v>
      </c>
      <c r="B156" s="1" t="s">
        <v>141</v>
      </c>
      <c r="C156" s="1" t="s">
        <v>40</v>
      </c>
      <c r="D156" s="9">
        <f>D157</f>
        <v>1785</v>
      </c>
      <c r="E156" s="9">
        <f>E157</f>
        <v>1785</v>
      </c>
      <c r="F156" s="9">
        <f t="shared" si="75"/>
        <v>1785</v>
      </c>
      <c r="G156" s="9">
        <f t="shared" si="75"/>
        <v>1785</v>
      </c>
      <c r="H156" s="9">
        <f>H157</f>
        <v>1785</v>
      </c>
      <c r="I156" s="9">
        <f t="shared" si="44"/>
        <v>100</v>
      </c>
      <c r="J156" s="9">
        <f t="shared" si="45"/>
        <v>100</v>
      </c>
    </row>
    <row r="157" spans="1:10">
      <c r="A157" s="8" t="s">
        <v>41</v>
      </c>
      <c r="B157" s="1" t="s">
        <v>141</v>
      </c>
      <c r="C157" s="1" t="s">
        <v>42</v>
      </c>
      <c r="D157" s="9">
        <f>ведомство!G196</f>
        <v>1785</v>
      </c>
      <c r="E157" s="9">
        <f>ведомство!H196</f>
        <v>1785</v>
      </c>
      <c r="F157" s="9">
        <f>ведомство!I196</f>
        <v>1785</v>
      </c>
      <c r="G157" s="9">
        <f>ведомство!J196</f>
        <v>1785</v>
      </c>
      <c r="H157" s="9">
        <f>ведомство!K196</f>
        <v>1785</v>
      </c>
      <c r="I157" s="9">
        <f t="shared" si="44"/>
        <v>100</v>
      </c>
      <c r="J157" s="9">
        <f t="shared" si="45"/>
        <v>100</v>
      </c>
    </row>
    <row r="158" spans="1:10" ht="25.5">
      <c r="A158" s="8" t="s">
        <v>342</v>
      </c>
      <c r="B158" s="1" t="s">
        <v>343</v>
      </c>
      <c r="C158" s="1" t="s">
        <v>0</v>
      </c>
      <c r="D158" s="9">
        <f>D159</f>
        <v>7785215.4000000004</v>
      </c>
      <c r="E158" s="9">
        <f>E159</f>
        <v>7785215.4000000004</v>
      </c>
      <c r="F158" s="9">
        <f t="shared" ref="F158:G159" si="76">F159</f>
        <v>5838911.5499999998</v>
      </c>
      <c r="G158" s="9">
        <f t="shared" si="76"/>
        <v>5838911.5499999998</v>
      </c>
      <c r="H158" s="9">
        <f>H159</f>
        <v>5838911.5499999998</v>
      </c>
      <c r="I158" s="9">
        <f t="shared" si="44"/>
        <v>74.999999999999986</v>
      </c>
      <c r="J158" s="9">
        <f t="shared" si="45"/>
        <v>100</v>
      </c>
    </row>
    <row r="159" spans="1:10">
      <c r="A159" s="8" t="s">
        <v>68</v>
      </c>
      <c r="B159" s="1" t="s">
        <v>343</v>
      </c>
      <c r="C159" s="1" t="s">
        <v>69</v>
      </c>
      <c r="D159" s="9">
        <f>D160</f>
        <v>7785215.4000000004</v>
      </c>
      <c r="E159" s="9">
        <f>E160</f>
        <v>7785215.4000000004</v>
      </c>
      <c r="F159" s="9">
        <f t="shared" si="76"/>
        <v>5838911.5499999998</v>
      </c>
      <c r="G159" s="9">
        <f t="shared" si="76"/>
        <v>5838911.5499999998</v>
      </c>
      <c r="H159" s="9">
        <f>H160</f>
        <v>5838911.5499999998</v>
      </c>
      <c r="I159" s="9">
        <f t="shared" si="44"/>
        <v>74.999999999999986</v>
      </c>
      <c r="J159" s="9">
        <f t="shared" si="45"/>
        <v>100</v>
      </c>
    </row>
    <row r="160" spans="1:10" ht="25.5">
      <c r="A160" s="8" t="s">
        <v>151</v>
      </c>
      <c r="B160" s="1" t="s">
        <v>343</v>
      </c>
      <c r="C160" s="1" t="s">
        <v>152</v>
      </c>
      <c r="D160" s="9">
        <f>ведомство!G725</f>
        <v>7785215.4000000004</v>
      </c>
      <c r="E160" s="9">
        <f>ведомство!H725</f>
        <v>7785215.4000000004</v>
      </c>
      <c r="F160" s="9">
        <f>ведомство!I725</f>
        <v>5838911.5499999998</v>
      </c>
      <c r="G160" s="9">
        <f>ведомство!J725</f>
        <v>5838911.5499999998</v>
      </c>
      <c r="H160" s="9">
        <f>ведомство!K725</f>
        <v>5838911.5499999998</v>
      </c>
      <c r="I160" s="9">
        <f t="shared" si="44"/>
        <v>74.999999999999986</v>
      </c>
      <c r="J160" s="9">
        <f t="shared" si="45"/>
        <v>100</v>
      </c>
    </row>
    <row r="161" spans="1:10" ht="25.5">
      <c r="A161" s="8" t="s">
        <v>1128</v>
      </c>
      <c r="B161" s="24" t="s">
        <v>1127</v>
      </c>
      <c r="C161" s="1"/>
      <c r="D161" s="9">
        <f>D162+D164</f>
        <v>0</v>
      </c>
      <c r="E161" s="9">
        <f>E162+E164</f>
        <v>5746.6684800000003</v>
      </c>
      <c r="F161" s="9">
        <f t="shared" ref="F161:G161" si="77">F162+F164</f>
        <v>3623.4767199999997</v>
      </c>
      <c r="G161" s="9">
        <f t="shared" si="77"/>
        <v>3623.4767199999997</v>
      </c>
      <c r="H161" s="9">
        <f>H162+H164</f>
        <v>3457.2988</v>
      </c>
      <c r="I161" s="9">
        <f t="shared" si="44"/>
        <v>60.161793081197544</v>
      </c>
      <c r="J161" s="9">
        <f t="shared" si="45"/>
        <v>95.413854349256042</v>
      </c>
    </row>
    <row r="162" spans="1:10" ht="51">
      <c r="A162" s="8" t="s">
        <v>60</v>
      </c>
      <c r="B162" s="24" t="s">
        <v>1127</v>
      </c>
      <c r="C162" s="1">
        <v>100</v>
      </c>
      <c r="D162" s="9">
        <f>D163</f>
        <v>0</v>
      </c>
      <c r="E162" s="9">
        <f>E163</f>
        <v>2147.4894399999998</v>
      </c>
      <c r="F162" s="9">
        <f t="shared" ref="F162:G162" si="78">F163</f>
        <v>1879.0532599999999</v>
      </c>
      <c r="G162" s="9">
        <f t="shared" si="78"/>
        <v>1879.0532599999999</v>
      </c>
      <c r="H162" s="9">
        <f>H163</f>
        <v>1712.8753400000001</v>
      </c>
      <c r="I162" s="9">
        <f t="shared" si="44"/>
        <v>79.761758455957775</v>
      </c>
      <c r="J162" s="9">
        <f t="shared" si="45"/>
        <v>91.156295378237445</v>
      </c>
    </row>
    <row r="163" spans="1:10">
      <c r="A163" s="8" t="s">
        <v>78</v>
      </c>
      <c r="B163" s="24" t="s">
        <v>1127</v>
      </c>
      <c r="C163" s="1">
        <v>110</v>
      </c>
      <c r="D163" s="9">
        <f>ведомство!G728</f>
        <v>0</v>
      </c>
      <c r="E163" s="9">
        <f>ведомство!H728</f>
        <v>2147.4894399999998</v>
      </c>
      <c r="F163" s="9">
        <f>ведомство!I728</f>
        <v>1879.0532599999999</v>
      </c>
      <c r="G163" s="9">
        <f>ведомство!J728</f>
        <v>1879.0532599999999</v>
      </c>
      <c r="H163" s="9">
        <f>ведомство!K728</f>
        <v>1712.8753400000001</v>
      </c>
      <c r="I163" s="9">
        <f t="shared" ref="I163:I242" si="79">H163/E163*100</f>
        <v>79.761758455957775</v>
      </c>
      <c r="J163" s="9">
        <f t="shared" ref="J163:J242" si="80">H163/F163*100</f>
        <v>91.156295378237445</v>
      </c>
    </row>
    <row r="164" spans="1:10" ht="25.5">
      <c r="A164" s="8" t="s">
        <v>64</v>
      </c>
      <c r="B164" s="24" t="s">
        <v>1127</v>
      </c>
      <c r="C164" s="1">
        <v>200</v>
      </c>
      <c r="D164" s="9">
        <f>D165</f>
        <v>0</v>
      </c>
      <c r="E164" s="9">
        <f>E165</f>
        <v>3599.17904</v>
      </c>
      <c r="F164" s="9">
        <f t="shared" ref="F164:G164" si="81">F165</f>
        <v>1744.42346</v>
      </c>
      <c r="G164" s="9">
        <f t="shared" si="81"/>
        <v>1744.42346</v>
      </c>
      <c r="H164" s="9">
        <f>H165</f>
        <v>1744.42346</v>
      </c>
      <c r="I164" s="9">
        <f t="shared" si="79"/>
        <v>48.467259911582502</v>
      </c>
      <c r="J164" s="9">
        <f t="shared" si="80"/>
        <v>100</v>
      </c>
    </row>
    <row r="165" spans="1:10" ht="25.5">
      <c r="A165" s="8" t="s">
        <v>66</v>
      </c>
      <c r="B165" s="24" t="s">
        <v>1127</v>
      </c>
      <c r="C165" s="1">
        <v>240</v>
      </c>
      <c r="D165" s="9">
        <f>ведомство!G730</f>
        <v>0</v>
      </c>
      <c r="E165" s="9">
        <f>ведомство!H730</f>
        <v>3599.17904</v>
      </c>
      <c r="F165" s="9">
        <f>ведомство!I730</f>
        <v>1744.42346</v>
      </c>
      <c r="G165" s="9">
        <f>ведомство!J730</f>
        <v>1744.42346</v>
      </c>
      <c r="H165" s="9">
        <f>ведомство!K730</f>
        <v>1744.42346</v>
      </c>
      <c r="I165" s="9">
        <f t="shared" si="79"/>
        <v>48.467259911582502</v>
      </c>
      <c r="J165" s="9">
        <f t="shared" si="80"/>
        <v>100</v>
      </c>
    </row>
    <row r="166" spans="1:10">
      <c r="A166" s="4" t="s">
        <v>0</v>
      </c>
      <c r="B166" s="17" t="s">
        <v>0</v>
      </c>
      <c r="C166" s="5" t="s">
        <v>0</v>
      </c>
      <c r="D166" s="7" t="s">
        <v>0</v>
      </c>
      <c r="E166" s="7" t="s">
        <v>0</v>
      </c>
      <c r="F166" s="7" t="s">
        <v>0</v>
      </c>
      <c r="G166" s="7" t="s">
        <v>0</v>
      </c>
      <c r="H166" s="7" t="s">
        <v>0</v>
      </c>
      <c r="I166" s="7"/>
      <c r="J166" s="7"/>
    </row>
    <row r="167" spans="1:10" ht="25.5">
      <c r="A167" s="4" t="s">
        <v>112</v>
      </c>
      <c r="B167" s="5" t="s">
        <v>113</v>
      </c>
      <c r="C167" s="5" t="s">
        <v>0</v>
      </c>
      <c r="D167" s="7">
        <f>D168+D202+D274+D299+D339+D351+D359</f>
        <v>17952475.899999999</v>
      </c>
      <c r="E167" s="7">
        <f>E168+E202+E274+E299+E339+E351+E359</f>
        <v>18024301.65913</v>
      </c>
      <c r="F167" s="7">
        <f t="shared" ref="F167:G167" si="82">F168+F202+F274+F299+F339+F351+F359</f>
        <v>13508407.604520001</v>
      </c>
      <c r="G167" s="7">
        <f t="shared" si="82"/>
        <v>13507844.496240001</v>
      </c>
      <c r="H167" s="7">
        <f>H168+H202+H274+H299+H339+H351+H359</f>
        <v>13019773.775839999</v>
      </c>
      <c r="I167" s="7">
        <f t="shared" si="79"/>
        <v>72.234553227447705</v>
      </c>
      <c r="J167" s="7">
        <f t="shared" si="80"/>
        <v>96.382742933249204</v>
      </c>
    </row>
    <row r="168" spans="1:10" ht="25.5">
      <c r="A168" s="4" t="s">
        <v>395</v>
      </c>
      <c r="B168" s="5" t="s">
        <v>396</v>
      </c>
      <c r="C168" s="5" t="s">
        <v>0</v>
      </c>
      <c r="D168" s="7">
        <f>D169+D175+D179+D182+D189+D192+D195+D186+D198+D172</f>
        <v>12598515.399999999</v>
      </c>
      <c r="E168" s="7">
        <f t="shared" ref="E168" si="83">E169+E175+E179+E182+E189+E192+E195+E186+E198+E172</f>
        <v>12598815.362</v>
      </c>
      <c r="F168" s="7">
        <f t="shared" ref="F168:H168" si="84">F169+F175+F179+F182+F189+F192+F195+F186+F198+F172</f>
        <v>9599046.3600000013</v>
      </c>
      <c r="G168" s="7">
        <f t="shared" si="84"/>
        <v>9599046.3600000013</v>
      </c>
      <c r="H168" s="7">
        <f t="shared" si="84"/>
        <v>9130539.50832</v>
      </c>
      <c r="I168" s="7">
        <f t="shared" si="79"/>
        <v>72.471412954103116</v>
      </c>
      <c r="J168" s="7">
        <f t="shared" si="80"/>
        <v>95.119235452051711</v>
      </c>
    </row>
    <row r="169" spans="1:10" ht="25.5">
      <c r="A169" s="38" t="s">
        <v>1144</v>
      </c>
      <c r="B169" s="37" t="s">
        <v>1143</v>
      </c>
      <c r="C169" s="6"/>
      <c r="D169" s="22">
        <f>D170</f>
        <v>9935</v>
      </c>
      <c r="E169" s="22">
        <f>E170</f>
        <v>9935</v>
      </c>
      <c r="F169" s="22">
        <f t="shared" ref="F169:G170" si="85">F170</f>
        <v>9935</v>
      </c>
      <c r="G169" s="22">
        <f t="shared" si="85"/>
        <v>9935</v>
      </c>
      <c r="H169" s="22">
        <f>H170</f>
        <v>0</v>
      </c>
      <c r="I169" s="22">
        <f t="shared" si="79"/>
        <v>0</v>
      </c>
      <c r="J169" s="22">
        <f t="shared" si="80"/>
        <v>0</v>
      </c>
    </row>
    <row r="170" spans="1:10" ht="25.5">
      <c r="A170" s="8" t="s">
        <v>80</v>
      </c>
      <c r="B170" s="37" t="s">
        <v>1143</v>
      </c>
      <c r="C170" s="1">
        <v>600</v>
      </c>
      <c r="D170" s="22">
        <f>D171</f>
        <v>9935</v>
      </c>
      <c r="E170" s="22">
        <f>E171</f>
        <v>9935</v>
      </c>
      <c r="F170" s="22">
        <f t="shared" si="85"/>
        <v>9935</v>
      </c>
      <c r="G170" s="22">
        <f t="shared" si="85"/>
        <v>9935</v>
      </c>
      <c r="H170" s="22">
        <f>H171</f>
        <v>0</v>
      </c>
      <c r="I170" s="22">
        <f t="shared" si="79"/>
        <v>0</v>
      </c>
      <c r="J170" s="22">
        <f t="shared" si="80"/>
        <v>0</v>
      </c>
    </row>
    <row r="171" spans="1:10">
      <c r="A171" s="8" t="s">
        <v>82</v>
      </c>
      <c r="B171" s="37" t="s">
        <v>1143</v>
      </c>
      <c r="C171" s="6">
        <v>620</v>
      </c>
      <c r="D171" s="22">
        <f>ведомство!G1073</f>
        <v>9935</v>
      </c>
      <c r="E171" s="22">
        <f>ведомство!H1073</f>
        <v>9935</v>
      </c>
      <c r="F171" s="22">
        <f>ведомство!I1073</f>
        <v>9935</v>
      </c>
      <c r="G171" s="22">
        <f>ведомство!J1073</f>
        <v>9935</v>
      </c>
      <c r="H171" s="22">
        <f>ведомство!K1073</f>
        <v>0</v>
      </c>
      <c r="I171" s="22">
        <f t="shared" si="79"/>
        <v>0</v>
      </c>
      <c r="J171" s="22">
        <f t="shared" si="80"/>
        <v>0</v>
      </c>
    </row>
    <row r="172" spans="1:10" s="89" customFormat="1" ht="38.25">
      <c r="A172" s="62" t="s">
        <v>1225</v>
      </c>
      <c r="B172" s="28" t="s">
        <v>1251</v>
      </c>
      <c r="C172" s="28"/>
      <c r="D172" s="22">
        <f>D173</f>
        <v>152133.4</v>
      </c>
      <c r="E172" s="22">
        <f t="shared" ref="E172:H173" si="86">E173</f>
        <v>152133.4</v>
      </c>
      <c r="F172" s="22">
        <f t="shared" si="86"/>
        <v>0</v>
      </c>
      <c r="G172" s="22">
        <f t="shared" si="86"/>
        <v>0</v>
      </c>
      <c r="H172" s="22">
        <f t="shared" si="86"/>
        <v>0</v>
      </c>
      <c r="I172" s="22">
        <f t="shared" ref="I172:I174" si="87">H172/E172*100</f>
        <v>0</v>
      </c>
      <c r="J172" s="22">
        <v>0</v>
      </c>
    </row>
    <row r="173" spans="1:10" s="89" customFormat="1" ht="25.5">
      <c r="A173" s="59" t="s">
        <v>64</v>
      </c>
      <c r="B173" s="28" t="s">
        <v>1251</v>
      </c>
      <c r="C173" s="28">
        <v>200</v>
      </c>
      <c r="D173" s="22">
        <f>D174</f>
        <v>152133.4</v>
      </c>
      <c r="E173" s="22">
        <f t="shared" si="86"/>
        <v>152133.4</v>
      </c>
      <c r="F173" s="22">
        <f t="shared" si="86"/>
        <v>0</v>
      </c>
      <c r="G173" s="22">
        <f t="shared" si="86"/>
        <v>0</v>
      </c>
      <c r="H173" s="22">
        <f t="shared" si="86"/>
        <v>0</v>
      </c>
      <c r="I173" s="22">
        <f t="shared" si="87"/>
        <v>0</v>
      </c>
      <c r="J173" s="22">
        <v>0</v>
      </c>
    </row>
    <row r="174" spans="1:10" s="89" customFormat="1" ht="25.5">
      <c r="A174" s="59" t="s">
        <v>66</v>
      </c>
      <c r="B174" s="28" t="s">
        <v>1251</v>
      </c>
      <c r="C174" s="28">
        <v>240</v>
      </c>
      <c r="D174" s="22">
        <f>ведомство!G977</f>
        <v>152133.4</v>
      </c>
      <c r="E174" s="22">
        <f>ведомство!H977</f>
        <v>152133.4</v>
      </c>
      <c r="F174" s="22">
        <f>ведомство!I977</f>
        <v>0</v>
      </c>
      <c r="G174" s="22">
        <f>ведомство!J977</f>
        <v>0</v>
      </c>
      <c r="H174" s="22">
        <f>ведомство!K977</f>
        <v>0</v>
      </c>
      <c r="I174" s="22">
        <f t="shared" si="87"/>
        <v>0</v>
      </c>
      <c r="J174" s="22">
        <v>0</v>
      </c>
    </row>
    <row r="175" spans="1:10" ht="25.5">
      <c r="A175" s="8" t="s">
        <v>76</v>
      </c>
      <c r="B175" s="1" t="s">
        <v>397</v>
      </c>
      <c r="C175" s="1" t="s">
        <v>0</v>
      </c>
      <c r="D175" s="9">
        <f>D176</f>
        <v>266221.3</v>
      </c>
      <c r="E175" s="9">
        <f>E176</f>
        <v>266521.26435999997</v>
      </c>
      <c r="F175" s="9">
        <f t="shared" ref="F175:G175" si="88">F176</f>
        <v>200105.91235999999</v>
      </c>
      <c r="G175" s="9">
        <f t="shared" si="88"/>
        <v>200105.91235999999</v>
      </c>
      <c r="H175" s="9">
        <f>H176</f>
        <v>199805.91235999999</v>
      </c>
      <c r="I175" s="9">
        <f t="shared" si="79"/>
        <v>74.968094136802108</v>
      </c>
      <c r="J175" s="9">
        <f t="shared" si="80"/>
        <v>99.850079392226903</v>
      </c>
    </row>
    <row r="176" spans="1:10" ht="25.5">
      <c r="A176" s="8" t="s">
        <v>80</v>
      </c>
      <c r="B176" s="1" t="s">
        <v>397</v>
      </c>
      <c r="C176" s="1" t="s">
        <v>81</v>
      </c>
      <c r="D176" s="9">
        <f>D177+D178</f>
        <v>266221.3</v>
      </c>
      <c r="E176" s="9">
        <f>E177+E178</f>
        <v>266521.26435999997</v>
      </c>
      <c r="F176" s="9">
        <f t="shared" ref="F176:G176" si="89">F177+F178</f>
        <v>200105.91235999999</v>
      </c>
      <c r="G176" s="9">
        <f t="shared" si="89"/>
        <v>200105.91235999999</v>
      </c>
      <c r="H176" s="9">
        <f>H177+H178</f>
        <v>199805.91235999999</v>
      </c>
      <c r="I176" s="9">
        <f t="shared" si="79"/>
        <v>74.968094136802108</v>
      </c>
      <c r="J176" s="9">
        <f t="shared" si="80"/>
        <v>99.850079392226903</v>
      </c>
    </row>
    <row r="177" spans="1:10">
      <c r="A177" s="8" t="s">
        <v>271</v>
      </c>
      <c r="B177" s="1" t="s">
        <v>397</v>
      </c>
      <c r="C177" s="1" t="s">
        <v>272</v>
      </c>
      <c r="D177" s="9">
        <f>ведомство!G980+ведомство!G1076</f>
        <v>240076.9</v>
      </c>
      <c r="E177" s="9">
        <f>ведомство!H980+ведомство!H1076</f>
        <v>240076.9</v>
      </c>
      <c r="F177" s="9">
        <f>ведомство!I980+ведомство!I1076</f>
        <v>180265.503</v>
      </c>
      <c r="G177" s="9">
        <f>ведомство!J980+ведомство!J1076</f>
        <v>180265.503</v>
      </c>
      <c r="H177" s="9">
        <f>ведомство!K980+ведомство!K1076</f>
        <v>179965.503</v>
      </c>
      <c r="I177" s="9">
        <f t="shared" si="79"/>
        <v>74.961607301660422</v>
      </c>
      <c r="J177" s="9">
        <f t="shared" si="80"/>
        <v>99.833578807366152</v>
      </c>
    </row>
    <row r="178" spans="1:10">
      <c r="A178" s="8" t="s">
        <v>82</v>
      </c>
      <c r="B178" s="1" t="s">
        <v>397</v>
      </c>
      <c r="C178" s="1" t="s">
        <v>83</v>
      </c>
      <c r="D178" s="9">
        <f>ведомство!G1077</f>
        <v>26144.400000000001</v>
      </c>
      <c r="E178" s="9">
        <f>ведомство!H1077</f>
        <v>26444.36436</v>
      </c>
      <c r="F178" s="9">
        <f>ведомство!I1077</f>
        <v>19840.409360000001</v>
      </c>
      <c r="G178" s="9">
        <f>ведомство!J1077</f>
        <v>19840.409360000001</v>
      </c>
      <c r="H178" s="9">
        <f>ведомство!K1077</f>
        <v>19840.409360000001</v>
      </c>
      <c r="I178" s="9">
        <f t="shared" si="79"/>
        <v>75.026985296008093</v>
      </c>
      <c r="J178" s="9">
        <f t="shared" si="80"/>
        <v>100</v>
      </c>
    </row>
    <row r="179" spans="1:10" ht="63.75">
      <c r="A179" s="8" t="s">
        <v>367</v>
      </c>
      <c r="B179" s="1" t="s">
        <v>423</v>
      </c>
      <c r="C179" s="1" t="s">
        <v>0</v>
      </c>
      <c r="D179" s="9">
        <f>D180</f>
        <v>3910.4</v>
      </c>
      <c r="E179" s="9">
        <f>E180</f>
        <v>3910.4</v>
      </c>
      <c r="F179" s="9">
        <f t="shared" ref="F179:G180" si="90">F180</f>
        <v>0</v>
      </c>
      <c r="G179" s="9">
        <f t="shared" si="90"/>
        <v>0</v>
      </c>
      <c r="H179" s="9">
        <f>H180</f>
        <v>0</v>
      </c>
      <c r="I179" s="9">
        <f t="shared" si="79"/>
        <v>0</v>
      </c>
      <c r="J179" s="9">
        <v>0</v>
      </c>
    </row>
    <row r="180" spans="1:10">
      <c r="A180" s="8" t="s">
        <v>72</v>
      </c>
      <c r="B180" s="1" t="s">
        <v>423</v>
      </c>
      <c r="C180" s="1" t="s">
        <v>73</v>
      </c>
      <c r="D180" s="9">
        <f>D181</f>
        <v>3910.4</v>
      </c>
      <c r="E180" s="9">
        <f>E181</f>
        <v>3910.4</v>
      </c>
      <c r="F180" s="9">
        <f t="shared" si="90"/>
        <v>0</v>
      </c>
      <c r="G180" s="9">
        <f t="shared" si="90"/>
        <v>0</v>
      </c>
      <c r="H180" s="9">
        <f>H181</f>
        <v>0</v>
      </c>
      <c r="I180" s="9">
        <f t="shared" si="79"/>
        <v>0</v>
      </c>
      <c r="J180" s="9">
        <v>0</v>
      </c>
    </row>
    <row r="181" spans="1:10">
      <c r="A181" s="8" t="s">
        <v>369</v>
      </c>
      <c r="B181" s="1" t="s">
        <v>423</v>
      </c>
      <c r="C181" s="1" t="s">
        <v>370</v>
      </c>
      <c r="D181" s="9">
        <f>ведомство!G1080</f>
        <v>3910.4</v>
      </c>
      <c r="E181" s="9">
        <f>ведомство!H1080</f>
        <v>3910.4</v>
      </c>
      <c r="F181" s="9">
        <f>ведомство!I1080</f>
        <v>0</v>
      </c>
      <c r="G181" s="9">
        <f>ведомство!J1080</f>
        <v>0</v>
      </c>
      <c r="H181" s="9">
        <f>ведомство!K1080</f>
        <v>0</v>
      </c>
      <c r="I181" s="9">
        <f t="shared" si="79"/>
        <v>0</v>
      </c>
      <c r="J181" s="9">
        <v>0</v>
      </c>
    </row>
    <row r="182" spans="1:10">
      <c r="A182" s="8" t="s">
        <v>424</v>
      </c>
      <c r="B182" s="1" t="s">
        <v>425</v>
      </c>
      <c r="C182" s="1" t="s">
        <v>0</v>
      </c>
      <c r="D182" s="9">
        <f>D183</f>
        <v>46335.9</v>
      </c>
      <c r="E182" s="9">
        <f>E183</f>
        <v>46335.881000000001</v>
      </c>
      <c r="F182" s="9">
        <f t="shared" ref="F182:G182" si="91">F183</f>
        <v>44668.222999999998</v>
      </c>
      <c r="G182" s="9">
        <f t="shared" si="91"/>
        <v>44668.222999999998</v>
      </c>
      <c r="H182" s="9">
        <f>H183</f>
        <v>44668.222999999998</v>
      </c>
      <c r="I182" s="9">
        <f t="shared" si="79"/>
        <v>96.400936026229857</v>
      </c>
      <c r="J182" s="9">
        <f t="shared" si="80"/>
        <v>100</v>
      </c>
    </row>
    <row r="183" spans="1:10" ht="25.5">
      <c r="A183" s="8" t="s">
        <v>80</v>
      </c>
      <c r="B183" s="1" t="s">
        <v>425</v>
      </c>
      <c r="C183" s="1" t="s">
        <v>81</v>
      </c>
      <c r="D183" s="9">
        <f>D184+D185</f>
        <v>46335.9</v>
      </c>
      <c r="E183" s="9">
        <f>E184+E185</f>
        <v>46335.881000000001</v>
      </c>
      <c r="F183" s="9">
        <f t="shared" ref="F183:G183" si="92">F184+F185</f>
        <v>44668.222999999998</v>
      </c>
      <c r="G183" s="9">
        <f t="shared" si="92"/>
        <v>44668.222999999998</v>
      </c>
      <c r="H183" s="9">
        <f>H184+H185</f>
        <v>44668.222999999998</v>
      </c>
      <c r="I183" s="9">
        <f t="shared" si="79"/>
        <v>96.400936026229857</v>
      </c>
      <c r="J183" s="9">
        <f t="shared" si="80"/>
        <v>100</v>
      </c>
    </row>
    <row r="184" spans="1:10">
      <c r="A184" s="8" t="s">
        <v>271</v>
      </c>
      <c r="B184" s="1" t="s">
        <v>425</v>
      </c>
      <c r="C184" s="1" t="s">
        <v>272</v>
      </c>
      <c r="D184" s="9">
        <f>ведомство!G1083</f>
        <v>7589.8</v>
      </c>
      <c r="E184" s="9">
        <f>ведомство!H1083</f>
        <v>7589.7619999999997</v>
      </c>
      <c r="F184" s="9">
        <f>ведомство!I1083</f>
        <v>6329.826</v>
      </c>
      <c r="G184" s="9">
        <f>ведомство!J1083</f>
        <v>6329.826</v>
      </c>
      <c r="H184" s="9">
        <f>ведомство!K1083</f>
        <v>6329.826</v>
      </c>
      <c r="I184" s="9">
        <f t="shared" si="79"/>
        <v>83.399532159242938</v>
      </c>
      <c r="J184" s="9">
        <f t="shared" si="80"/>
        <v>100</v>
      </c>
    </row>
    <row r="185" spans="1:10">
      <c r="A185" s="8" t="s">
        <v>82</v>
      </c>
      <c r="B185" s="1" t="s">
        <v>425</v>
      </c>
      <c r="C185" s="1" t="s">
        <v>83</v>
      </c>
      <c r="D185" s="9">
        <f>ведомство!G1084</f>
        <v>38746.1</v>
      </c>
      <c r="E185" s="9">
        <f>ведомство!H1084</f>
        <v>38746.118999999999</v>
      </c>
      <c r="F185" s="9">
        <f>ведомство!I1084</f>
        <v>38338.396999999997</v>
      </c>
      <c r="G185" s="9">
        <f>ведомство!J1084</f>
        <v>38338.396999999997</v>
      </c>
      <c r="H185" s="9">
        <f>ведомство!K1084</f>
        <v>38338.396999999997</v>
      </c>
      <c r="I185" s="9">
        <f t="shared" si="79"/>
        <v>98.947708801493121</v>
      </c>
      <c r="J185" s="9">
        <f t="shared" si="80"/>
        <v>100</v>
      </c>
    </row>
    <row r="186" spans="1:10" s="88" customFormat="1" ht="25.5">
      <c r="A186" s="59" t="s">
        <v>1236</v>
      </c>
      <c r="B186" s="29" t="s">
        <v>1235</v>
      </c>
      <c r="C186" s="28"/>
      <c r="D186" s="9">
        <f>D187</f>
        <v>5000</v>
      </c>
      <c r="E186" s="9">
        <f t="shared" ref="E186:H187" si="93">E187</f>
        <v>5000</v>
      </c>
      <c r="F186" s="9">
        <f t="shared" si="93"/>
        <v>0</v>
      </c>
      <c r="G186" s="9">
        <f t="shared" si="93"/>
        <v>0</v>
      </c>
      <c r="H186" s="9">
        <f t="shared" si="93"/>
        <v>0</v>
      </c>
      <c r="I186" s="9">
        <f t="shared" ref="I186:I188" si="94">H186/E186*100</f>
        <v>0</v>
      </c>
      <c r="J186" s="9">
        <v>0</v>
      </c>
    </row>
    <row r="187" spans="1:10" s="88" customFormat="1">
      <c r="A187" s="59" t="s">
        <v>26</v>
      </c>
      <c r="B187" s="29" t="s">
        <v>1235</v>
      </c>
      <c r="C187" s="28">
        <v>500</v>
      </c>
      <c r="D187" s="9">
        <f>D188</f>
        <v>5000</v>
      </c>
      <c r="E187" s="9">
        <f t="shared" si="93"/>
        <v>5000</v>
      </c>
      <c r="F187" s="9">
        <f t="shared" si="93"/>
        <v>0</v>
      </c>
      <c r="G187" s="9">
        <f t="shared" si="93"/>
        <v>0</v>
      </c>
      <c r="H187" s="9">
        <f t="shared" si="93"/>
        <v>0</v>
      </c>
      <c r="I187" s="9">
        <f t="shared" si="94"/>
        <v>0</v>
      </c>
      <c r="J187" s="9">
        <v>0</v>
      </c>
    </row>
    <row r="188" spans="1:10" s="88" customFormat="1">
      <c r="A188" s="62" t="s">
        <v>56</v>
      </c>
      <c r="B188" s="29" t="s">
        <v>1235</v>
      </c>
      <c r="C188" s="28">
        <v>520</v>
      </c>
      <c r="D188" s="9">
        <f>ведомство!G983</f>
        <v>5000</v>
      </c>
      <c r="E188" s="9">
        <f>ведомство!H983</f>
        <v>5000</v>
      </c>
      <c r="F188" s="9">
        <f>ведомство!I983</f>
        <v>0</v>
      </c>
      <c r="G188" s="9">
        <f>ведомство!J983</f>
        <v>0</v>
      </c>
      <c r="H188" s="9">
        <f>ведомство!K983</f>
        <v>0</v>
      </c>
      <c r="I188" s="9">
        <f t="shared" si="94"/>
        <v>0</v>
      </c>
      <c r="J188" s="9">
        <v>0</v>
      </c>
    </row>
    <row r="189" spans="1:10" ht="51">
      <c r="A189" s="8" t="s">
        <v>455</v>
      </c>
      <c r="B189" s="1" t="s">
        <v>456</v>
      </c>
      <c r="C189" s="1" t="s">
        <v>0</v>
      </c>
      <c r="D189" s="9">
        <f>D190</f>
        <v>2691.1</v>
      </c>
      <c r="E189" s="9">
        <f>E190</f>
        <v>2691.1</v>
      </c>
      <c r="F189" s="9">
        <f t="shared" ref="F189:G190" si="95">F190</f>
        <v>1637.8989999999999</v>
      </c>
      <c r="G189" s="9">
        <f t="shared" si="95"/>
        <v>1637.8989999999999</v>
      </c>
      <c r="H189" s="9">
        <f>H190</f>
        <v>1628.5989999999999</v>
      </c>
      <c r="I189" s="9">
        <f t="shared" si="79"/>
        <v>60.517966630745789</v>
      </c>
      <c r="J189" s="9">
        <f t="shared" si="80"/>
        <v>99.432199421331845</v>
      </c>
    </row>
    <row r="190" spans="1:10">
      <c r="A190" s="8" t="s">
        <v>26</v>
      </c>
      <c r="B190" s="1" t="s">
        <v>456</v>
      </c>
      <c r="C190" s="1" t="s">
        <v>27</v>
      </c>
      <c r="D190" s="9">
        <f>D191</f>
        <v>2691.1</v>
      </c>
      <c r="E190" s="9">
        <f>E191</f>
        <v>2691.1</v>
      </c>
      <c r="F190" s="9">
        <f t="shared" si="95"/>
        <v>1637.8989999999999</v>
      </c>
      <c r="G190" s="9">
        <f t="shared" si="95"/>
        <v>1637.8989999999999</v>
      </c>
      <c r="H190" s="9">
        <f>H191</f>
        <v>1628.5989999999999</v>
      </c>
      <c r="I190" s="9">
        <f t="shared" si="79"/>
        <v>60.517966630745789</v>
      </c>
      <c r="J190" s="9">
        <f t="shared" si="80"/>
        <v>99.432199421331845</v>
      </c>
    </row>
    <row r="191" spans="1:10">
      <c r="A191" s="8" t="s">
        <v>56</v>
      </c>
      <c r="B191" s="1" t="s">
        <v>456</v>
      </c>
      <c r="C191" s="1" t="s">
        <v>57</v>
      </c>
      <c r="D191" s="9">
        <f>ведомство!G1206</f>
        <v>2691.1</v>
      </c>
      <c r="E191" s="9">
        <f>ведомство!H1206</f>
        <v>2691.1</v>
      </c>
      <c r="F191" s="9">
        <f>ведомство!I1206</f>
        <v>1637.8989999999999</v>
      </c>
      <c r="G191" s="9">
        <f>ведомство!J1206</f>
        <v>1637.8989999999999</v>
      </c>
      <c r="H191" s="9">
        <f>ведомство!K1206</f>
        <v>1628.5989999999999</v>
      </c>
      <c r="I191" s="9">
        <f t="shared" si="79"/>
        <v>60.517966630745789</v>
      </c>
      <c r="J191" s="9">
        <f t="shared" si="80"/>
        <v>99.432199421331845</v>
      </c>
    </row>
    <row r="192" spans="1:10">
      <c r="A192" s="8" t="s">
        <v>398</v>
      </c>
      <c r="B192" s="1" t="s">
        <v>399</v>
      </c>
      <c r="C192" s="1" t="s">
        <v>0</v>
      </c>
      <c r="D192" s="9">
        <f>D193</f>
        <v>11721353.1</v>
      </c>
      <c r="E192" s="9">
        <f>E193</f>
        <v>11721353.1</v>
      </c>
      <c r="F192" s="9">
        <f t="shared" ref="F192:G193" si="96">F193</f>
        <v>9059632.2829999998</v>
      </c>
      <c r="G192" s="9">
        <f t="shared" si="96"/>
        <v>9059632.2829999998</v>
      </c>
      <c r="H192" s="9">
        <f>H193</f>
        <v>8624327.3641599994</v>
      </c>
      <c r="I192" s="9">
        <f t="shared" si="79"/>
        <v>73.577916223341148</v>
      </c>
      <c r="J192" s="9">
        <f t="shared" si="80"/>
        <v>95.195114931355093</v>
      </c>
    </row>
    <row r="193" spans="1:10">
      <c r="A193" s="8" t="s">
        <v>26</v>
      </c>
      <c r="B193" s="1" t="s">
        <v>399</v>
      </c>
      <c r="C193" s="1" t="s">
        <v>27</v>
      </c>
      <c r="D193" s="9">
        <f>D194</f>
        <v>11721353.1</v>
      </c>
      <c r="E193" s="9">
        <f>E194</f>
        <v>11721353.1</v>
      </c>
      <c r="F193" s="9">
        <f t="shared" si="96"/>
        <v>9059632.2829999998</v>
      </c>
      <c r="G193" s="9">
        <f t="shared" si="96"/>
        <v>9059632.2829999998</v>
      </c>
      <c r="H193" s="9">
        <f>H194</f>
        <v>8624327.3641599994</v>
      </c>
      <c r="I193" s="9">
        <f t="shared" si="79"/>
        <v>73.577916223341148</v>
      </c>
      <c r="J193" s="9">
        <f t="shared" si="80"/>
        <v>95.195114931355093</v>
      </c>
    </row>
    <row r="194" spans="1:10">
      <c r="A194" s="8" t="s">
        <v>28</v>
      </c>
      <c r="B194" s="1" t="s">
        <v>399</v>
      </c>
      <c r="C194" s="1" t="s">
        <v>29</v>
      </c>
      <c r="D194" s="9">
        <f>ведомство!G986</f>
        <v>11721353.1</v>
      </c>
      <c r="E194" s="9">
        <f>ведомство!H986</f>
        <v>11721353.1</v>
      </c>
      <c r="F194" s="9">
        <f>ведомство!I986</f>
        <v>9059632.2829999998</v>
      </c>
      <c r="G194" s="9">
        <f>ведомство!J986</f>
        <v>9059632.2829999998</v>
      </c>
      <c r="H194" s="9">
        <f>ведомство!K986</f>
        <v>8624327.3641599994</v>
      </c>
      <c r="I194" s="9">
        <f t="shared" si="79"/>
        <v>73.577916223341148</v>
      </c>
      <c r="J194" s="9">
        <f t="shared" si="80"/>
        <v>95.195114931355093</v>
      </c>
    </row>
    <row r="195" spans="1:10" ht="38.25">
      <c r="A195" s="8" t="s">
        <v>457</v>
      </c>
      <c r="B195" s="1" t="s">
        <v>458</v>
      </c>
      <c r="C195" s="1" t="s">
        <v>0</v>
      </c>
      <c r="D195" s="9">
        <f>D196</f>
        <v>388500.2</v>
      </c>
      <c r="E195" s="9">
        <f>E196</f>
        <v>388500.2</v>
      </c>
      <c r="F195" s="9">
        <f t="shared" ref="F195:G196" si="97">F196</f>
        <v>280973.071</v>
      </c>
      <c r="G195" s="9">
        <f t="shared" si="97"/>
        <v>280973.071</v>
      </c>
      <c r="H195" s="9">
        <f>H196</f>
        <v>258015.43815999999</v>
      </c>
      <c r="I195" s="9">
        <f t="shared" si="79"/>
        <v>66.413206006071547</v>
      </c>
      <c r="J195" s="9">
        <f t="shared" si="80"/>
        <v>91.829240874119208</v>
      </c>
    </row>
    <row r="196" spans="1:10">
      <c r="A196" s="8" t="s">
        <v>26</v>
      </c>
      <c r="B196" s="1" t="s">
        <v>458</v>
      </c>
      <c r="C196" s="1" t="s">
        <v>27</v>
      </c>
      <c r="D196" s="9">
        <f>D197</f>
        <v>388500.2</v>
      </c>
      <c r="E196" s="9">
        <f>E197</f>
        <v>388500.2</v>
      </c>
      <c r="F196" s="9">
        <f t="shared" si="97"/>
        <v>280973.071</v>
      </c>
      <c r="G196" s="9">
        <f t="shared" si="97"/>
        <v>280973.071</v>
      </c>
      <c r="H196" s="9">
        <f>H197</f>
        <v>258015.43815999999</v>
      </c>
      <c r="I196" s="9">
        <f t="shared" si="79"/>
        <v>66.413206006071547</v>
      </c>
      <c r="J196" s="9">
        <f t="shared" si="80"/>
        <v>91.829240874119208</v>
      </c>
    </row>
    <row r="197" spans="1:10">
      <c r="A197" s="8" t="s">
        <v>28</v>
      </c>
      <c r="B197" s="1" t="s">
        <v>458</v>
      </c>
      <c r="C197" s="1" t="s">
        <v>29</v>
      </c>
      <c r="D197" s="9">
        <f>ведомство!G1209</f>
        <v>388500.2</v>
      </c>
      <c r="E197" s="9">
        <f>ведомство!H1209</f>
        <v>388500.2</v>
      </c>
      <c r="F197" s="9">
        <f>ведомство!I1209</f>
        <v>280973.071</v>
      </c>
      <c r="G197" s="9">
        <f>ведомство!J1209</f>
        <v>280973.071</v>
      </c>
      <c r="H197" s="9">
        <f>ведомство!K1209</f>
        <v>258015.43815999999</v>
      </c>
      <c r="I197" s="9">
        <f t="shared" si="79"/>
        <v>66.413206006071547</v>
      </c>
      <c r="J197" s="9">
        <f t="shared" si="80"/>
        <v>91.829240874119208</v>
      </c>
    </row>
    <row r="198" spans="1:10" s="88" customFormat="1" ht="38.25">
      <c r="A198" s="62" t="s">
        <v>1240</v>
      </c>
      <c r="B198" s="29" t="s">
        <v>1241</v>
      </c>
      <c r="C198" s="28"/>
      <c r="D198" s="9">
        <f>D199</f>
        <v>2435</v>
      </c>
      <c r="E198" s="9">
        <f t="shared" ref="E198:H199" si="98">E199</f>
        <v>2435.0166399999998</v>
      </c>
      <c r="F198" s="9">
        <f t="shared" si="98"/>
        <v>2093.9716400000002</v>
      </c>
      <c r="G198" s="9">
        <f t="shared" si="98"/>
        <v>2093.9716400000002</v>
      </c>
      <c r="H198" s="9">
        <f t="shared" si="98"/>
        <v>2093.9716400000002</v>
      </c>
      <c r="I198" s="9">
        <f t="shared" ref="I198:I200" si="99">H198/E198*100</f>
        <v>85.994140886035183</v>
      </c>
      <c r="J198" s="9">
        <f t="shared" ref="J198:J200" si="100">H198/F198*100</f>
        <v>100</v>
      </c>
    </row>
    <row r="199" spans="1:10" s="88" customFormat="1" ht="25.5">
      <c r="A199" s="59" t="s">
        <v>80</v>
      </c>
      <c r="B199" s="29" t="s">
        <v>1241</v>
      </c>
      <c r="C199" s="28">
        <v>600</v>
      </c>
      <c r="D199" s="9">
        <f>D200</f>
        <v>2435</v>
      </c>
      <c r="E199" s="9">
        <f t="shared" si="98"/>
        <v>2435.0166399999998</v>
      </c>
      <c r="F199" s="9">
        <f t="shared" si="98"/>
        <v>2093.9716400000002</v>
      </c>
      <c r="G199" s="9">
        <f t="shared" si="98"/>
        <v>2093.9716400000002</v>
      </c>
      <c r="H199" s="9">
        <f t="shared" si="98"/>
        <v>2093.9716400000002</v>
      </c>
      <c r="I199" s="9">
        <f t="shared" si="99"/>
        <v>85.994140886035183</v>
      </c>
      <c r="J199" s="9">
        <f t="shared" si="100"/>
        <v>100</v>
      </c>
    </row>
    <row r="200" spans="1:10" s="88" customFormat="1">
      <c r="A200" s="59" t="s">
        <v>82</v>
      </c>
      <c r="B200" s="29" t="s">
        <v>1241</v>
      </c>
      <c r="C200" s="28">
        <v>620</v>
      </c>
      <c r="D200" s="9">
        <f>ведомство!G1087</f>
        <v>2435</v>
      </c>
      <c r="E200" s="9">
        <f>ведомство!H1087</f>
        <v>2435.0166399999998</v>
      </c>
      <c r="F200" s="9">
        <f>ведомство!I1087</f>
        <v>2093.9716400000002</v>
      </c>
      <c r="G200" s="9">
        <f>ведомство!J1087</f>
        <v>2093.9716400000002</v>
      </c>
      <c r="H200" s="9">
        <f>ведомство!K1087</f>
        <v>2093.9716400000002</v>
      </c>
      <c r="I200" s="9">
        <f t="shared" si="99"/>
        <v>85.994140886035183</v>
      </c>
      <c r="J200" s="9">
        <f t="shared" si="100"/>
        <v>100</v>
      </c>
    </row>
    <row r="201" spans="1:10">
      <c r="A201" s="4" t="s">
        <v>0</v>
      </c>
      <c r="B201" s="17" t="s">
        <v>0</v>
      </c>
      <c r="C201" s="5" t="s">
        <v>0</v>
      </c>
      <c r="D201" s="7" t="s">
        <v>0</v>
      </c>
      <c r="E201" s="7" t="s">
        <v>0</v>
      </c>
      <c r="F201" s="7" t="s">
        <v>0</v>
      </c>
      <c r="G201" s="7" t="s">
        <v>0</v>
      </c>
      <c r="H201" s="7" t="s">
        <v>0</v>
      </c>
      <c r="I201" s="7"/>
      <c r="J201" s="7"/>
    </row>
    <row r="202" spans="1:10" ht="63.75">
      <c r="A202" s="4" t="s">
        <v>400</v>
      </c>
      <c r="B202" s="5" t="s">
        <v>401</v>
      </c>
      <c r="C202" s="5" t="s">
        <v>0</v>
      </c>
      <c r="D202" s="7">
        <f>D210+D213+D218+D221+D224+D227+D233+D238+D243+D246+D251+D254+D257+D260+D270+D263</f>
        <v>2337773.6</v>
      </c>
      <c r="E202" s="7">
        <f>E210+E213+E218+E221+E224+E227+E233+E238+E243+E246+E251+E254+E257+E260+E270+E263+E203</f>
        <v>2378013.9200099995</v>
      </c>
      <c r="F202" s="7">
        <f t="shared" ref="F202:G202" si="101">F210+F213+F218+F221+F224+F227+F233+F238+F243+F246+F251+F254+F257+F260+F270+F263+F203</f>
        <v>1720002.0474099999</v>
      </c>
      <c r="G202" s="7">
        <f t="shared" si="101"/>
        <v>1720002.0474099999</v>
      </c>
      <c r="H202" s="7">
        <f>H210+H213+H218+H221+H224+H227+H233+H238+H243+H246+H251+H254+H257+H260+H270+H263+H203</f>
        <v>1701080.7548400001</v>
      </c>
      <c r="I202" s="7">
        <f t="shared" si="79"/>
        <v>71.533675245805412</v>
      </c>
      <c r="J202" s="7">
        <f t="shared" si="80"/>
        <v>98.899926160059408</v>
      </c>
    </row>
    <row r="203" spans="1:10" s="91" customFormat="1" ht="25.5">
      <c r="A203" s="59" t="s">
        <v>1257</v>
      </c>
      <c r="B203" s="29" t="s">
        <v>1265</v>
      </c>
      <c r="C203" s="58"/>
      <c r="D203" s="22">
        <v>0</v>
      </c>
      <c r="E203" s="22">
        <f>E204+E206+E208</f>
        <v>14899.5</v>
      </c>
      <c r="F203" s="22">
        <f t="shared" ref="F203:G203" si="102">F204+F206+F208</f>
        <v>1603.5</v>
      </c>
      <c r="G203" s="22">
        <f t="shared" si="102"/>
        <v>1603.5</v>
      </c>
      <c r="H203" s="22">
        <f>H204+H206+H208</f>
        <v>1603.5</v>
      </c>
      <c r="I203" s="22">
        <f t="shared" ref="I203:I209" si="103">H203/E203*100</f>
        <v>10.76210611094332</v>
      </c>
      <c r="J203" s="22">
        <f t="shared" ref="J203:J209" si="104">H203/F203*100</f>
        <v>100</v>
      </c>
    </row>
    <row r="204" spans="1:10" s="91" customFormat="1" ht="25.5">
      <c r="A204" s="59" t="s">
        <v>64</v>
      </c>
      <c r="B204" s="29" t="s">
        <v>1265</v>
      </c>
      <c r="C204" s="28">
        <v>200</v>
      </c>
      <c r="D204" s="22">
        <v>0</v>
      </c>
      <c r="E204" s="22">
        <f>E205</f>
        <v>3270.2972300000001</v>
      </c>
      <c r="F204" s="22">
        <f t="shared" ref="F204:G204" si="105">F205</f>
        <v>0</v>
      </c>
      <c r="G204" s="22">
        <f t="shared" si="105"/>
        <v>0</v>
      </c>
      <c r="H204" s="22">
        <f>H205</f>
        <v>0</v>
      </c>
      <c r="I204" s="22">
        <f t="shared" si="103"/>
        <v>0</v>
      </c>
      <c r="J204" s="22">
        <v>0</v>
      </c>
    </row>
    <row r="205" spans="1:10" s="91" customFormat="1" ht="25.5">
      <c r="A205" s="59" t="s">
        <v>66</v>
      </c>
      <c r="B205" s="29" t="s">
        <v>1265</v>
      </c>
      <c r="C205" s="28">
        <v>240</v>
      </c>
      <c r="D205" s="22">
        <v>0</v>
      </c>
      <c r="E205" s="22">
        <f>ведомство!H1091</f>
        <v>3270.2972300000001</v>
      </c>
      <c r="F205" s="22">
        <f>ведомство!I1091</f>
        <v>0</v>
      </c>
      <c r="G205" s="22">
        <f>ведомство!J1091</f>
        <v>0</v>
      </c>
      <c r="H205" s="22">
        <f>ведомство!K1091</f>
        <v>0</v>
      </c>
      <c r="I205" s="22">
        <f t="shared" si="103"/>
        <v>0</v>
      </c>
      <c r="J205" s="22">
        <v>0</v>
      </c>
    </row>
    <row r="206" spans="1:10" s="91" customFormat="1">
      <c r="A206" s="59" t="s">
        <v>26</v>
      </c>
      <c r="B206" s="29" t="s">
        <v>1265</v>
      </c>
      <c r="C206" s="28">
        <v>500</v>
      </c>
      <c r="D206" s="22">
        <v>0</v>
      </c>
      <c r="E206" s="22">
        <f>E207</f>
        <v>6702.6402699999999</v>
      </c>
      <c r="F206" s="22">
        <f t="shared" ref="F206:G206" si="106">F207</f>
        <v>0</v>
      </c>
      <c r="G206" s="22">
        <f t="shared" si="106"/>
        <v>0</v>
      </c>
      <c r="H206" s="22">
        <f>H207</f>
        <v>0</v>
      </c>
      <c r="I206" s="22">
        <f t="shared" si="103"/>
        <v>0</v>
      </c>
      <c r="J206" s="22">
        <v>0</v>
      </c>
    </row>
    <row r="207" spans="1:10" s="91" customFormat="1">
      <c r="A207" s="59" t="s">
        <v>56</v>
      </c>
      <c r="B207" s="29" t="s">
        <v>1265</v>
      </c>
      <c r="C207" s="28">
        <v>520</v>
      </c>
      <c r="D207" s="22">
        <v>0</v>
      </c>
      <c r="E207" s="22">
        <f>ведомство!H1093</f>
        <v>6702.6402699999999</v>
      </c>
      <c r="F207" s="22">
        <f>ведомство!I1093</f>
        <v>0</v>
      </c>
      <c r="G207" s="22">
        <f>ведомство!J1093</f>
        <v>0</v>
      </c>
      <c r="H207" s="22">
        <f>ведомство!K1093</f>
        <v>0</v>
      </c>
      <c r="I207" s="22">
        <f t="shared" si="103"/>
        <v>0</v>
      </c>
      <c r="J207" s="22">
        <v>0</v>
      </c>
    </row>
    <row r="208" spans="1:10" s="91" customFormat="1" ht="25.5">
      <c r="A208" s="59" t="s">
        <v>80</v>
      </c>
      <c r="B208" s="29" t="s">
        <v>1265</v>
      </c>
      <c r="C208" s="28">
        <v>600</v>
      </c>
      <c r="D208" s="22">
        <v>0</v>
      </c>
      <c r="E208" s="22">
        <f>E209</f>
        <v>4926.5625</v>
      </c>
      <c r="F208" s="22">
        <f t="shared" ref="F208:G208" si="107">F209</f>
        <v>1603.5</v>
      </c>
      <c r="G208" s="22">
        <f t="shared" si="107"/>
        <v>1603.5</v>
      </c>
      <c r="H208" s="22">
        <f>H209</f>
        <v>1603.5</v>
      </c>
      <c r="I208" s="22">
        <f t="shared" si="103"/>
        <v>32.548049476688867</v>
      </c>
      <c r="J208" s="22">
        <f t="shared" si="104"/>
        <v>100</v>
      </c>
    </row>
    <row r="209" spans="1:10" s="91" customFormat="1">
      <c r="A209" s="59" t="s">
        <v>271</v>
      </c>
      <c r="B209" s="29" t="s">
        <v>1265</v>
      </c>
      <c r="C209" s="28">
        <v>610</v>
      </c>
      <c r="D209" s="22">
        <v>0</v>
      </c>
      <c r="E209" s="22">
        <f>ведомство!H1095</f>
        <v>4926.5625</v>
      </c>
      <c r="F209" s="22">
        <f>ведомство!I1095</f>
        <v>1603.5</v>
      </c>
      <c r="G209" s="22">
        <f>ведомство!J1095</f>
        <v>1603.5</v>
      </c>
      <c r="H209" s="22">
        <f>ведомство!K1095</f>
        <v>1603.5</v>
      </c>
      <c r="I209" s="22">
        <f t="shared" si="103"/>
        <v>32.548049476688867</v>
      </c>
      <c r="J209" s="22">
        <f t="shared" si="104"/>
        <v>100</v>
      </c>
    </row>
    <row r="210" spans="1:10" ht="38.25">
      <c r="A210" s="8" t="s">
        <v>459</v>
      </c>
      <c r="B210" s="1" t="s">
        <v>460</v>
      </c>
      <c r="C210" s="1" t="s">
        <v>0</v>
      </c>
      <c r="D210" s="9">
        <f>D211</f>
        <v>88281.2</v>
      </c>
      <c r="E210" s="9">
        <f>E211</f>
        <v>88281.2</v>
      </c>
      <c r="F210" s="9">
        <f t="shared" ref="F210:G211" si="108">F211</f>
        <v>78887.492970000007</v>
      </c>
      <c r="G210" s="9">
        <f t="shared" si="108"/>
        <v>78887.492970000007</v>
      </c>
      <c r="H210" s="9">
        <f>H211</f>
        <v>78887.492970000007</v>
      </c>
      <c r="I210" s="9">
        <f t="shared" si="79"/>
        <v>89.359334682809035</v>
      </c>
      <c r="J210" s="9">
        <f t="shared" si="80"/>
        <v>100</v>
      </c>
    </row>
    <row r="211" spans="1:10">
      <c r="A211" s="8" t="s">
        <v>26</v>
      </c>
      <c r="B211" s="1" t="s">
        <v>460</v>
      </c>
      <c r="C211" s="1" t="s">
        <v>27</v>
      </c>
      <c r="D211" s="9">
        <f>D212</f>
        <v>88281.2</v>
      </c>
      <c r="E211" s="9">
        <f>E212</f>
        <v>88281.2</v>
      </c>
      <c r="F211" s="9">
        <f t="shared" si="108"/>
        <v>78887.492970000007</v>
      </c>
      <c r="G211" s="9">
        <f t="shared" si="108"/>
        <v>78887.492970000007</v>
      </c>
      <c r="H211" s="9">
        <f>H212</f>
        <v>78887.492970000007</v>
      </c>
      <c r="I211" s="9">
        <f t="shared" si="79"/>
        <v>89.359334682809035</v>
      </c>
      <c r="J211" s="9">
        <f t="shared" si="80"/>
        <v>100</v>
      </c>
    </row>
    <row r="212" spans="1:10">
      <c r="A212" s="8" t="s">
        <v>28</v>
      </c>
      <c r="B212" s="1" t="s">
        <v>460</v>
      </c>
      <c r="C212" s="1" t="s">
        <v>29</v>
      </c>
      <c r="D212" s="9">
        <f>ведомство!G1213</f>
        <v>88281.2</v>
      </c>
      <c r="E212" s="9">
        <f>ведомство!H1213</f>
        <v>88281.2</v>
      </c>
      <c r="F212" s="9">
        <f>ведомство!I1213</f>
        <v>78887.492970000007</v>
      </c>
      <c r="G212" s="9">
        <f>ведомство!J1213</f>
        <v>78887.492970000007</v>
      </c>
      <c r="H212" s="9">
        <f>ведомство!K1213</f>
        <v>78887.492970000007</v>
      </c>
      <c r="I212" s="9">
        <f t="shared" si="79"/>
        <v>89.359334682809035</v>
      </c>
      <c r="J212" s="9">
        <f t="shared" si="80"/>
        <v>100</v>
      </c>
    </row>
    <row r="213" spans="1:10" ht="25.5">
      <c r="A213" s="8" t="s">
        <v>461</v>
      </c>
      <c r="B213" s="1" t="s">
        <v>462</v>
      </c>
      <c r="C213" s="1" t="s">
        <v>0</v>
      </c>
      <c r="D213" s="9">
        <f>D214+D216</f>
        <v>8494.4</v>
      </c>
      <c r="E213" s="9">
        <f>E214+E216</f>
        <v>8494.4</v>
      </c>
      <c r="F213" s="9">
        <f t="shared" ref="F213:G213" si="109">F214+F216</f>
        <v>6927.9122200000002</v>
      </c>
      <c r="G213" s="9">
        <f t="shared" si="109"/>
        <v>6927.9122200000002</v>
      </c>
      <c r="H213" s="9">
        <f>H214+H216</f>
        <v>6926.28071</v>
      </c>
      <c r="I213" s="9">
        <f t="shared" si="79"/>
        <v>81.539375470898477</v>
      </c>
      <c r="J213" s="9">
        <f t="shared" si="80"/>
        <v>99.976450192378437</v>
      </c>
    </row>
    <row r="214" spans="1:10" ht="25.5">
      <c r="A214" s="8" t="s">
        <v>64</v>
      </c>
      <c r="B214" s="1" t="s">
        <v>462</v>
      </c>
      <c r="C214" s="1" t="s">
        <v>65</v>
      </c>
      <c r="D214" s="9">
        <f>D215</f>
        <v>122.6</v>
      </c>
      <c r="E214" s="9">
        <f>E215</f>
        <v>122.6</v>
      </c>
      <c r="F214" s="9">
        <f t="shared" ref="F214:G214" si="110">F215</f>
        <v>8.5</v>
      </c>
      <c r="G214" s="9">
        <f t="shared" si="110"/>
        <v>8.5</v>
      </c>
      <c r="H214" s="9">
        <f>H215</f>
        <v>6.8694899999999999</v>
      </c>
      <c r="I214" s="9">
        <f t="shared" si="79"/>
        <v>5.6031729200652531</v>
      </c>
      <c r="J214" s="9">
        <f t="shared" si="80"/>
        <v>80.817529411764696</v>
      </c>
    </row>
    <row r="215" spans="1:10" ht="25.5">
      <c r="A215" s="8" t="s">
        <v>66</v>
      </c>
      <c r="B215" s="1" t="s">
        <v>462</v>
      </c>
      <c r="C215" s="1" t="s">
        <v>67</v>
      </c>
      <c r="D215" s="9">
        <f>ведомство!G1216</f>
        <v>122.6</v>
      </c>
      <c r="E215" s="9">
        <f>ведомство!H1216</f>
        <v>122.6</v>
      </c>
      <c r="F215" s="9">
        <f>ведомство!I1216</f>
        <v>8.5</v>
      </c>
      <c r="G215" s="9">
        <f>ведомство!J1216</f>
        <v>8.5</v>
      </c>
      <c r="H215" s="9">
        <f>ведомство!K1216</f>
        <v>6.8694899999999999</v>
      </c>
      <c r="I215" s="9">
        <f t="shared" si="79"/>
        <v>5.6031729200652531</v>
      </c>
      <c r="J215" s="9">
        <f t="shared" si="80"/>
        <v>80.817529411764696</v>
      </c>
    </row>
    <row r="216" spans="1:10">
      <c r="A216" s="8" t="s">
        <v>68</v>
      </c>
      <c r="B216" s="1" t="s">
        <v>462</v>
      </c>
      <c r="C216" s="1" t="s">
        <v>69</v>
      </c>
      <c r="D216" s="9">
        <f>D217</f>
        <v>8371.7999999999993</v>
      </c>
      <c r="E216" s="9">
        <f>E217</f>
        <v>8371.7999999999993</v>
      </c>
      <c r="F216" s="9">
        <f t="shared" ref="F216:G216" si="111">F217</f>
        <v>6919.4122200000002</v>
      </c>
      <c r="G216" s="9">
        <f t="shared" si="111"/>
        <v>6919.4122200000002</v>
      </c>
      <c r="H216" s="9">
        <f>H217</f>
        <v>6919.41122</v>
      </c>
      <c r="I216" s="9">
        <f t="shared" si="79"/>
        <v>82.651415705105236</v>
      </c>
      <c r="J216" s="9">
        <f t="shared" si="80"/>
        <v>99.999985547905396</v>
      </c>
    </row>
    <row r="217" spans="1:10">
      <c r="A217" s="8" t="s">
        <v>463</v>
      </c>
      <c r="B217" s="1" t="s">
        <v>462</v>
      </c>
      <c r="C217" s="1" t="s">
        <v>464</v>
      </c>
      <c r="D217" s="9">
        <f>ведомство!G1218</f>
        <v>8371.7999999999993</v>
      </c>
      <c r="E217" s="9">
        <f>ведомство!H1218</f>
        <v>8371.7999999999993</v>
      </c>
      <c r="F217" s="9">
        <f>ведомство!I1218</f>
        <v>6919.4122200000002</v>
      </c>
      <c r="G217" s="9">
        <f>ведомство!J1218</f>
        <v>6919.4122200000002</v>
      </c>
      <c r="H217" s="9">
        <f>ведомство!K1218</f>
        <v>6919.41122</v>
      </c>
      <c r="I217" s="9">
        <f t="shared" si="79"/>
        <v>82.651415705105236</v>
      </c>
      <c r="J217" s="9">
        <f t="shared" si="80"/>
        <v>99.999985547905396</v>
      </c>
    </row>
    <row r="218" spans="1:10" ht="25.5">
      <c r="A218" s="8" t="s">
        <v>1147</v>
      </c>
      <c r="B218" s="24" t="s">
        <v>1142</v>
      </c>
      <c r="C218" s="6"/>
      <c r="D218" s="9">
        <f>D219</f>
        <v>0</v>
      </c>
      <c r="E218" s="9">
        <f>E219</f>
        <v>27340.909</v>
      </c>
      <c r="F218" s="9">
        <f t="shared" ref="F218:G219" si="112">F219</f>
        <v>27340.909</v>
      </c>
      <c r="G218" s="9">
        <f t="shared" si="112"/>
        <v>27340.909</v>
      </c>
      <c r="H218" s="9">
        <f>H219</f>
        <v>27229.93491</v>
      </c>
      <c r="I218" s="9">
        <f t="shared" si="79"/>
        <v>99.59410972766122</v>
      </c>
      <c r="J218" s="9">
        <f t="shared" si="80"/>
        <v>99.59410972766122</v>
      </c>
    </row>
    <row r="219" spans="1:10" ht="25.5">
      <c r="A219" s="8" t="s">
        <v>64</v>
      </c>
      <c r="B219" s="24" t="s">
        <v>1142</v>
      </c>
      <c r="C219" s="1">
        <v>200</v>
      </c>
      <c r="D219" s="9">
        <f>D220</f>
        <v>0</v>
      </c>
      <c r="E219" s="9">
        <f>E220</f>
        <v>27340.909</v>
      </c>
      <c r="F219" s="9">
        <f t="shared" si="112"/>
        <v>27340.909</v>
      </c>
      <c r="G219" s="9">
        <f t="shared" si="112"/>
        <v>27340.909</v>
      </c>
      <c r="H219" s="9">
        <f>H220</f>
        <v>27229.93491</v>
      </c>
      <c r="I219" s="9">
        <f t="shared" si="79"/>
        <v>99.59410972766122</v>
      </c>
      <c r="J219" s="9">
        <f t="shared" si="80"/>
        <v>99.59410972766122</v>
      </c>
    </row>
    <row r="220" spans="1:10" ht="25.5">
      <c r="A220" s="8" t="s">
        <v>66</v>
      </c>
      <c r="B220" s="24" t="s">
        <v>1142</v>
      </c>
      <c r="C220" s="1">
        <v>240</v>
      </c>
      <c r="D220" s="9">
        <f>ведомство!G1098</f>
        <v>0</v>
      </c>
      <c r="E220" s="9">
        <f>ведомство!H1098</f>
        <v>27340.909</v>
      </c>
      <c r="F220" s="9">
        <f>ведомство!I1098</f>
        <v>27340.909</v>
      </c>
      <c r="G220" s="9">
        <f>ведомство!J1098</f>
        <v>27340.909</v>
      </c>
      <c r="H220" s="9">
        <f>ведомство!K1098</f>
        <v>27229.93491</v>
      </c>
      <c r="I220" s="9">
        <f t="shared" si="79"/>
        <v>99.59410972766122</v>
      </c>
      <c r="J220" s="9">
        <f t="shared" si="80"/>
        <v>99.59410972766122</v>
      </c>
    </row>
    <row r="221" spans="1:10" ht="25.5">
      <c r="A221" s="8" t="s">
        <v>76</v>
      </c>
      <c r="B221" s="1" t="s">
        <v>402</v>
      </c>
      <c r="C221" s="1" t="s">
        <v>0</v>
      </c>
      <c r="D221" s="9">
        <f>D222</f>
        <v>1500334.2</v>
      </c>
      <c r="E221" s="9">
        <f>E222</f>
        <v>1503434.186</v>
      </c>
      <c r="F221" s="9">
        <f t="shared" ref="F221:G222" si="113">F222</f>
        <v>1107375.4460199999</v>
      </c>
      <c r="G221" s="9">
        <f t="shared" si="113"/>
        <v>1107375.4460199999</v>
      </c>
      <c r="H221" s="9">
        <f>H222</f>
        <v>1107243.5870000001</v>
      </c>
      <c r="I221" s="9">
        <f t="shared" si="79"/>
        <v>73.647626035823038</v>
      </c>
      <c r="J221" s="9">
        <f t="shared" si="80"/>
        <v>99.988092654530689</v>
      </c>
    </row>
    <row r="222" spans="1:10" ht="25.5">
      <c r="A222" s="8" t="s">
        <v>80</v>
      </c>
      <c r="B222" s="1" t="s">
        <v>402</v>
      </c>
      <c r="C222" s="1" t="s">
        <v>81</v>
      </c>
      <c r="D222" s="9">
        <f>D223</f>
        <v>1500334.2</v>
      </c>
      <c r="E222" s="9">
        <f>E223</f>
        <v>1503434.186</v>
      </c>
      <c r="F222" s="9">
        <f t="shared" si="113"/>
        <v>1107375.4460199999</v>
      </c>
      <c r="G222" s="9">
        <f t="shared" si="113"/>
        <v>1107375.4460199999</v>
      </c>
      <c r="H222" s="9">
        <f>H223</f>
        <v>1107243.5870000001</v>
      </c>
      <c r="I222" s="9">
        <f t="shared" si="79"/>
        <v>73.647626035823038</v>
      </c>
      <c r="J222" s="9">
        <f t="shared" si="80"/>
        <v>99.988092654530689</v>
      </c>
    </row>
    <row r="223" spans="1:10">
      <c r="A223" s="8" t="s">
        <v>271</v>
      </c>
      <c r="B223" s="1" t="s">
        <v>402</v>
      </c>
      <c r="C223" s="1" t="s">
        <v>272</v>
      </c>
      <c r="D223" s="9">
        <f>ведомство!G990</f>
        <v>1500334.2</v>
      </c>
      <c r="E223" s="9">
        <f>ведомство!H990</f>
        <v>1503434.186</v>
      </c>
      <c r="F223" s="9">
        <f>ведомство!I990</f>
        <v>1107375.4460199999</v>
      </c>
      <c r="G223" s="9">
        <f>ведомство!J990</f>
        <v>1107375.4460199999</v>
      </c>
      <c r="H223" s="9">
        <f>ведомство!K990</f>
        <v>1107243.5870000001</v>
      </c>
      <c r="I223" s="9">
        <f t="shared" si="79"/>
        <v>73.647626035823038</v>
      </c>
      <c r="J223" s="9">
        <f t="shared" si="80"/>
        <v>99.988092654530689</v>
      </c>
    </row>
    <row r="224" spans="1:10" ht="63.75">
      <c r="A224" s="8" t="s">
        <v>367</v>
      </c>
      <c r="B224" s="1" t="s">
        <v>426</v>
      </c>
      <c r="C224" s="1" t="s">
        <v>0</v>
      </c>
      <c r="D224" s="9">
        <f>D225</f>
        <v>20000</v>
      </c>
      <c r="E224" s="9">
        <f>E225</f>
        <v>20000</v>
      </c>
      <c r="F224" s="9">
        <f t="shared" ref="F224:G225" si="114">F225</f>
        <v>0</v>
      </c>
      <c r="G224" s="9">
        <f t="shared" si="114"/>
        <v>0</v>
      </c>
      <c r="H224" s="9">
        <f>H225</f>
        <v>0</v>
      </c>
      <c r="I224" s="9">
        <f t="shared" si="79"/>
        <v>0</v>
      </c>
      <c r="J224" s="9">
        <v>0</v>
      </c>
    </row>
    <row r="225" spans="1:10">
      <c r="A225" s="8" t="s">
        <v>72</v>
      </c>
      <c r="B225" s="1" t="s">
        <v>426</v>
      </c>
      <c r="C225" s="1" t="s">
        <v>73</v>
      </c>
      <c r="D225" s="9">
        <f>D226</f>
        <v>20000</v>
      </c>
      <c r="E225" s="9">
        <f>E226</f>
        <v>20000</v>
      </c>
      <c r="F225" s="9">
        <f t="shared" si="114"/>
        <v>0</v>
      </c>
      <c r="G225" s="9">
        <f t="shared" si="114"/>
        <v>0</v>
      </c>
      <c r="H225" s="9">
        <f>H226</f>
        <v>0</v>
      </c>
      <c r="I225" s="9">
        <f t="shared" si="79"/>
        <v>0</v>
      </c>
      <c r="J225" s="9">
        <v>0</v>
      </c>
    </row>
    <row r="226" spans="1:10">
      <c r="A226" s="8" t="s">
        <v>369</v>
      </c>
      <c r="B226" s="1" t="s">
        <v>426</v>
      </c>
      <c r="C226" s="1" t="s">
        <v>370</v>
      </c>
      <c r="D226" s="9">
        <f>ведомство!G1101</f>
        <v>20000</v>
      </c>
      <c r="E226" s="9">
        <f>ведомство!H1101</f>
        <v>20000</v>
      </c>
      <c r="F226" s="9">
        <f>ведомство!I1101</f>
        <v>0</v>
      </c>
      <c r="G226" s="9">
        <f>ведомство!J1101</f>
        <v>0</v>
      </c>
      <c r="H226" s="9">
        <f>ведомство!K1101</f>
        <v>0</v>
      </c>
      <c r="I226" s="9">
        <f t="shared" si="79"/>
        <v>0</v>
      </c>
      <c r="J226" s="9">
        <v>0</v>
      </c>
    </row>
    <row r="227" spans="1:10">
      <c r="A227" s="8" t="s">
        <v>424</v>
      </c>
      <c r="B227" s="1" t="s">
        <v>427</v>
      </c>
      <c r="C227" s="1" t="s">
        <v>0</v>
      </c>
      <c r="D227" s="9">
        <f>D228+D230</f>
        <v>17592</v>
      </c>
      <c r="E227" s="9">
        <f>E228+E230</f>
        <v>12492</v>
      </c>
      <c r="F227" s="9">
        <f t="shared" ref="F227:G227" si="115">F228+F230</f>
        <v>7429</v>
      </c>
      <c r="G227" s="9">
        <f t="shared" si="115"/>
        <v>7429</v>
      </c>
      <c r="H227" s="9">
        <f>H228+H230</f>
        <v>6288.6900000000005</v>
      </c>
      <c r="I227" s="9">
        <f t="shared" si="79"/>
        <v>50.341738712776184</v>
      </c>
      <c r="J227" s="9">
        <f t="shared" si="80"/>
        <v>84.650558621617989</v>
      </c>
    </row>
    <row r="228" spans="1:10" ht="25.5">
      <c r="A228" s="8" t="s">
        <v>64</v>
      </c>
      <c r="B228" s="1" t="s">
        <v>427</v>
      </c>
      <c r="C228" s="1" t="s">
        <v>65</v>
      </c>
      <c r="D228" s="9">
        <f>D229</f>
        <v>6372</v>
      </c>
      <c r="E228" s="9">
        <f>E229</f>
        <v>6372</v>
      </c>
      <c r="F228" s="9">
        <f t="shared" ref="F228:G228" si="116">F229</f>
        <v>3051.5</v>
      </c>
      <c r="G228" s="9">
        <f t="shared" si="116"/>
        <v>3051.5</v>
      </c>
      <c r="H228" s="9">
        <f>H229</f>
        <v>1911.19</v>
      </c>
      <c r="I228" s="9">
        <f t="shared" si="79"/>
        <v>29.993565599497803</v>
      </c>
      <c r="J228" s="9">
        <f t="shared" si="80"/>
        <v>62.631165000819266</v>
      </c>
    </row>
    <row r="229" spans="1:10" ht="25.5">
      <c r="A229" s="8" t="s">
        <v>66</v>
      </c>
      <c r="B229" s="1" t="s">
        <v>427</v>
      </c>
      <c r="C229" s="1" t="s">
        <v>67</v>
      </c>
      <c r="D229" s="9">
        <f>ведомство!G1104</f>
        <v>6372</v>
      </c>
      <c r="E229" s="9">
        <f>ведомство!H1104</f>
        <v>6372</v>
      </c>
      <c r="F229" s="9">
        <f>ведомство!I1104</f>
        <v>3051.5</v>
      </c>
      <c r="G229" s="9">
        <f>ведомство!J1104</f>
        <v>3051.5</v>
      </c>
      <c r="H229" s="9">
        <f>ведомство!K1104</f>
        <v>1911.19</v>
      </c>
      <c r="I229" s="9">
        <f t="shared" si="79"/>
        <v>29.993565599497803</v>
      </c>
      <c r="J229" s="9">
        <f t="shared" si="80"/>
        <v>62.631165000819266</v>
      </c>
    </row>
    <row r="230" spans="1:10" ht="25.5">
      <c r="A230" s="8" t="s">
        <v>80</v>
      </c>
      <c r="B230" s="1" t="s">
        <v>427</v>
      </c>
      <c r="C230" s="1" t="s">
        <v>81</v>
      </c>
      <c r="D230" s="9">
        <f>D231+D232</f>
        <v>11220</v>
      </c>
      <c r="E230" s="9">
        <f>E231+E232</f>
        <v>6120</v>
      </c>
      <c r="F230" s="9">
        <f t="shared" ref="F230:G230" si="117">F231+F232</f>
        <v>4377.5</v>
      </c>
      <c r="G230" s="9">
        <f t="shared" si="117"/>
        <v>4377.5</v>
      </c>
      <c r="H230" s="9">
        <f>H231+H232</f>
        <v>4377.5</v>
      </c>
      <c r="I230" s="9">
        <f t="shared" si="79"/>
        <v>71.527777777777786</v>
      </c>
      <c r="J230" s="9">
        <f t="shared" si="80"/>
        <v>100</v>
      </c>
    </row>
    <row r="231" spans="1:10">
      <c r="A231" s="8" t="s">
        <v>271</v>
      </c>
      <c r="B231" s="1" t="s">
        <v>427</v>
      </c>
      <c r="C231" s="1" t="s">
        <v>272</v>
      </c>
      <c r="D231" s="9">
        <f>ведомство!G1106</f>
        <v>1500</v>
      </c>
      <c r="E231" s="9">
        <f>ведомство!H1106</f>
        <v>1620</v>
      </c>
      <c r="F231" s="9">
        <f>ведомство!I1106</f>
        <v>1077.5</v>
      </c>
      <c r="G231" s="9">
        <f>ведомство!J1106</f>
        <v>1077.5</v>
      </c>
      <c r="H231" s="9">
        <f>ведомство!K1106</f>
        <v>1077.5</v>
      </c>
      <c r="I231" s="9">
        <f t="shared" si="79"/>
        <v>66.512345679012341</v>
      </c>
      <c r="J231" s="9">
        <f t="shared" si="80"/>
        <v>100</v>
      </c>
    </row>
    <row r="232" spans="1:10">
      <c r="A232" s="8" t="s">
        <v>82</v>
      </c>
      <c r="B232" s="1" t="s">
        <v>427</v>
      </c>
      <c r="C232" s="1" t="s">
        <v>83</v>
      </c>
      <c r="D232" s="9">
        <f>ведомство!G1107</f>
        <v>9720</v>
      </c>
      <c r="E232" s="9">
        <f>ведомство!H1107</f>
        <v>4500</v>
      </c>
      <c r="F232" s="9">
        <f>ведомство!I1107</f>
        <v>3300</v>
      </c>
      <c r="G232" s="9">
        <f>ведомство!J1107</f>
        <v>3300</v>
      </c>
      <c r="H232" s="9">
        <f>ведомство!K1107</f>
        <v>3300</v>
      </c>
      <c r="I232" s="9">
        <f t="shared" si="79"/>
        <v>73.333333333333329</v>
      </c>
      <c r="J232" s="9">
        <f t="shared" si="80"/>
        <v>100</v>
      </c>
    </row>
    <row r="233" spans="1:10" ht="63.75">
      <c r="A233" s="8" t="s">
        <v>428</v>
      </c>
      <c r="B233" s="1" t="s">
        <v>429</v>
      </c>
      <c r="C233" s="1" t="s">
        <v>0</v>
      </c>
      <c r="D233" s="9">
        <f>D234+D236</f>
        <v>2022</v>
      </c>
      <c r="E233" s="9">
        <f>E234+E236</f>
        <v>2021.9880000000001</v>
      </c>
      <c r="F233" s="9">
        <f t="shared" ref="F233:G233" si="118">F234+F236</f>
        <v>2021.9880000000001</v>
      </c>
      <c r="G233" s="9">
        <f t="shared" si="118"/>
        <v>2021.9880000000001</v>
      </c>
      <c r="H233" s="9">
        <f>H234+H236</f>
        <v>2021.9880000000001</v>
      </c>
      <c r="I233" s="9">
        <f t="shared" si="79"/>
        <v>100</v>
      </c>
      <c r="J233" s="9">
        <f t="shared" si="80"/>
        <v>100</v>
      </c>
    </row>
    <row r="234" spans="1:10" ht="25.5">
      <c r="A234" s="8" t="s">
        <v>64</v>
      </c>
      <c r="B234" s="1" t="s">
        <v>429</v>
      </c>
      <c r="C234" s="1" t="s">
        <v>65</v>
      </c>
      <c r="D234" s="9">
        <f>D235</f>
        <v>2022</v>
      </c>
      <c r="E234" s="9">
        <f>E235</f>
        <v>2021.9880000000001</v>
      </c>
      <c r="F234" s="9">
        <f t="shared" ref="F234:G234" si="119">F235</f>
        <v>2021.9880000000001</v>
      </c>
      <c r="G234" s="9">
        <f t="shared" si="119"/>
        <v>2021.9880000000001</v>
      </c>
      <c r="H234" s="9">
        <f>H235</f>
        <v>2021.9880000000001</v>
      </c>
      <c r="I234" s="9">
        <f t="shared" si="79"/>
        <v>100</v>
      </c>
      <c r="J234" s="9">
        <f t="shared" si="80"/>
        <v>100</v>
      </c>
    </row>
    <row r="235" spans="1:10" ht="25.5">
      <c r="A235" s="8" t="s">
        <v>66</v>
      </c>
      <c r="B235" s="1" t="s">
        <v>429</v>
      </c>
      <c r="C235" s="1" t="s">
        <v>67</v>
      </c>
      <c r="D235" s="9">
        <f>ведомство!G1110</f>
        <v>2022</v>
      </c>
      <c r="E235" s="9">
        <f>ведомство!H1110</f>
        <v>2021.9880000000001</v>
      </c>
      <c r="F235" s="9">
        <f>ведомство!I1110</f>
        <v>2021.9880000000001</v>
      </c>
      <c r="G235" s="9">
        <f>ведомство!J1110</f>
        <v>2021.9880000000001</v>
      </c>
      <c r="H235" s="9">
        <f>ведомство!K1110</f>
        <v>2021.9880000000001</v>
      </c>
      <c r="I235" s="9">
        <f t="shared" si="79"/>
        <v>100</v>
      </c>
      <c r="J235" s="9">
        <f t="shared" si="80"/>
        <v>100</v>
      </c>
    </row>
    <row r="236" spans="1:10" ht="25.5">
      <c r="A236" s="8" t="s">
        <v>80</v>
      </c>
      <c r="B236" s="1" t="s">
        <v>429</v>
      </c>
      <c r="C236" s="1" t="s">
        <v>81</v>
      </c>
      <c r="D236" s="9">
        <f>D237</f>
        <v>0</v>
      </c>
      <c r="E236" s="9">
        <f>E237</f>
        <v>0</v>
      </c>
      <c r="F236" s="9">
        <f t="shared" ref="F236:G236" si="120">F237</f>
        <v>0</v>
      </c>
      <c r="G236" s="9">
        <f t="shared" si="120"/>
        <v>0</v>
      </c>
      <c r="H236" s="9">
        <f>H237</f>
        <v>0</v>
      </c>
      <c r="I236" s="9">
        <v>0</v>
      </c>
      <c r="J236" s="9">
        <v>0</v>
      </c>
    </row>
    <row r="237" spans="1:10">
      <c r="A237" s="8" t="s">
        <v>271</v>
      </c>
      <c r="B237" s="1" t="s">
        <v>429</v>
      </c>
      <c r="C237" s="1" t="s">
        <v>272</v>
      </c>
      <c r="D237" s="9">
        <f>ведомство!G1112</f>
        <v>0</v>
      </c>
      <c r="E237" s="9">
        <f>ведомство!H1112</f>
        <v>0</v>
      </c>
      <c r="F237" s="9">
        <f>ведомство!I1112</f>
        <v>0</v>
      </c>
      <c r="G237" s="9">
        <f>ведомство!J1112</f>
        <v>0</v>
      </c>
      <c r="H237" s="9">
        <f>ведомство!K1112</f>
        <v>0</v>
      </c>
      <c r="I237" s="9">
        <v>0</v>
      </c>
      <c r="J237" s="9">
        <v>0</v>
      </c>
    </row>
    <row r="238" spans="1:10">
      <c r="A238" s="8" t="s">
        <v>465</v>
      </c>
      <c r="B238" s="1" t="s">
        <v>466</v>
      </c>
      <c r="C238" s="1" t="s">
        <v>0</v>
      </c>
      <c r="D238" s="9">
        <f>D239+D241</f>
        <v>138474.69999999998</v>
      </c>
      <c r="E238" s="9">
        <f>E239+E241</f>
        <v>138474.69999999998</v>
      </c>
      <c r="F238" s="9">
        <f t="shared" ref="F238:G238" si="121">F239+F241</f>
        <v>88955.700000000012</v>
      </c>
      <c r="G238" s="9">
        <f t="shared" si="121"/>
        <v>88955.700000000012</v>
      </c>
      <c r="H238" s="9">
        <f>H239+H241</f>
        <v>88802.889840000003</v>
      </c>
      <c r="I238" s="9">
        <f t="shared" si="79"/>
        <v>64.129324591423568</v>
      </c>
      <c r="J238" s="9">
        <f t="shared" si="80"/>
        <v>99.828217685881839</v>
      </c>
    </row>
    <row r="239" spans="1:10" ht="25.5">
      <c r="A239" s="8" t="s">
        <v>64</v>
      </c>
      <c r="B239" s="1" t="s">
        <v>466</v>
      </c>
      <c r="C239" s="1" t="s">
        <v>65</v>
      </c>
      <c r="D239" s="9">
        <f>D240</f>
        <v>810.4</v>
      </c>
      <c r="E239" s="9">
        <f>E240</f>
        <v>810.4</v>
      </c>
      <c r="F239" s="9">
        <f t="shared" ref="F239:G239" si="122">F240</f>
        <v>430.1</v>
      </c>
      <c r="G239" s="9">
        <f t="shared" si="122"/>
        <v>430.1</v>
      </c>
      <c r="H239" s="9">
        <f>H240</f>
        <v>425.35820999999999</v>
      </c>
      <c r="I239" s="9">
        <f t="shared" si="79"/>
        <v>52.487439536031587</v>
      </c>
      <c r="J239" s="9">
        <f t="shared" si="80"/>
        <v>98.897514531504299</v>
      </c>
    </row>
    <row r="240" spans="1:10" ht="25.5">
      <c r="A240" s="8" t="s">
        <v>66</v>
      </c>
      <c r="B240" s="1" t="s">
        <v>466</v>
      </c>
      <c r="C240" s="1" t="s">
        <v>67</v>
      </c>
      <c r="D240" s="9">
        <f>ведомство!G1221</f>
        <v>810.4</v>
      </c>
      <c r="E240" s="9">
        <f>ведомство!H1221</f>
        <v>810.4</v>
      </c>
      <c r="F240" s="9">
        <f>ведомство!I1221</f>
        <v>430.1</v>
      </c>
      <c r="G240" s="9">
        <f>ведомство!J1221</f>
        <v>430.1</v>
      </c>
      <c r="H240" s="9">
        <f>ведомство!K1221</f>
        <v>425.35820999999999</v>
      </c>
      <c r="I240" s="9">
        <f t="shared" si="79"/>
        <v>52.487439536031587</v>
      </c>
      <c r="J240" s="9">
        <f t="shared" si="80"/>
        <v>98.897514531504299</v>
      </c>
    </row>
    <row r="241" spans="1:10">
      <c r="A241" s="8" t="s">
        <v>68</v>
      </c>
      <c r="B241" s="1" t="s">
        <v>466</v>
      </c>
      <c r="C241" s="1" t="s">
        <v>69</v>
      </c>
      <c r="D241" s="9">
        <f>D242</f>
        <v>137664.29999999999</v>
      </c>
      <c r="E241" s="9">
        <f>E242</f>
        <v>137664.29999999999</v>
      </c>
      <c r="F241" s="9">
        <f t="shared" ref="F241:G241" si="123">F242</f>
        <v>88525.6</v>
      </c>
      <c r="G241" s="9">
        <f t="shared" si="123"/>
        <v>88525.6</v>
      </c>
      <c r="H241" s="9">
        <f>H242</f>
        <v>88377.531629999998</v>
      </c>
      <c r="I241" s="9">
        <f t="shared" si="79"/>
        <v>64.197857854214931</v>
      </c>
      <c r="J241" s="9">
        <f t="shared" si="80"/>
        <v>99.83273949004581</v>
      </c>
    </row>
    <row r="242" spans="1:10">
      <c r="A242" s="8" t="s">
        <v>463</v>
      </c>
      <c r="B242" s="1" t="s">
        <v>466</v>
      </c>
      <c r="C242" s="1" t="s">
        <v>464</v>
      </c>
      <c r="D242" s="9">
        <f>ведомство!G1223</f>
        <v>137664.29999999999</v>
      </c>
      <c r="E242" s="9">
        <f>ведомство!H1223</f>
        <v>137664.29999999999</v>
      </c>
      <c r="F242" s="9">
        <f>ведомство!I1223</f>
        <v>88525.6</v>
      </c>
      <c r="G242" s="9">
        <f>ведомство!J1223</f>
        <v>88525.6</v>
      </c>
      <c r="H242" s="9">
        <f>ведомство!K1223</f>
        <v>88377.531629999998</v>
      </c>
      <c r="I242" s="9">
        <f t="shared" si="79"/>
        <v>64.197857854214931</v>
      </c>
      <c r="J242" s="9">
        <f t="shared" si="80"/>
        <v>99.83273949004581</v>
      </c>
    </row>
    <row r="243" spans="1:10">
      <c r="A243" s="8" t="s">
        <v>467</v>
      </c>
      <c r="B243" s="1" t="s">
        <v>468</v>
      </c>
      <c r="C243" s="1" t="s">
        <v>0</v>
      </c>
      <c r="D243" s="9">
        <f>D244</f>
        <v>184654.3</v>
      </c>
      <c r="E243" s="9">
        <f>E244</f>
        <v>184654.3</v>
      </c>
      <c r="F243" s="9">
        <f t="shared" ref="F243:G244" si="124">F244</f>
        <v>122099</v>
      </c>
      <c r="G243" s="9">
        <f t="shared" si="124"/>
        <v>122099</v>
      </c>
      <c r="H243" s="9">
        <f>H244</f>
        <v>121532.45781000001</v>
      </c>
      <c r="I243" s="9">
        <f t="shared" ref="I243:I319" si="125">H243/E243*100</f>
        <v>65.816207805612976</v>
      </c>
      <c r="J243" s="9">
        <f t="shared" ref="J243:J319" si="126">H243/F243*100</f>
        <v>99.535997682208716</v>
      </c>
    </row>
    <row r="244" spans="1:10" ht="25.5">
      <c r="A244" s="8" t="s">
        <v>64</v>
      </c>
      <c r="B244" s="1" t="s">
        <v>468</v>
      </c>
      <c r="C244" s="1" t="s">
        <v>65</v>
      </c>
      <c r="D244" s="9">
        <f>D245</f>
        <v>184654.3</v>
      </c>
      <c r="E244" s="9">
        <f>E245</f>
        <v>184654.3</v>
      </c>
      <c r="F244" s="9">
        <f t="shared" si="124"/>
        <v>122099</v>
      </c>
      <c r="G244" s="9">
        <f t="shared" si="124"/>
        <v>122099</v>
      </c>
      <c r="H244" s="9">
        <f>H245</f>
        <v>121532.45781000001</v>
      </c>
      <c r="I244" s="9">
        <f t="shared" si="125"/>
        <v>65.816207805612976</v>
      </c>
      <c r="J244" s="9">
        <f t="shared" si="126"/>
        <v>99.535997682208716</v>
      </c>
    </row>
    <row r="245" spans="1:10" ht="25.5">
      <c r="A245" s="8" t="s">
        <v>66</v>
      </c>
      <c r="B245" s="1" t="s">
        <v>468</v>
      </c>
      <c r="C245" s="1" t="s">
        <v>67</v>
      </c>
      <c r="D245" s="9">
        <f>ведомство!G1226</f>
        <v>184654.3</v>
      </c>
      <c r="E245" s="9">
        <f>ведомство!H1226</f>
        <v>184654.3</v>
      </c>
      <c r="F245" s="9">
        <f>ведомство!I1226</f>
        <v>122099</v>
      </c>
      <c r="G245" s="9">
        <f>ведомство!J1226</f>
        <v>122099</v>
      </c>
      <c r="H245" s="9">
        <f>ведомство!K1226</f>
        <v>121532.45781000001</v>
      </c>
      <c r="I245" s="9">
        <f t="shared" si="125"/>
        <v>65.816207805612976</v>
      </c>
      <c r="J245" s="9">
        <f t="shared" si="126"/>
        <v>99.535997682208716</v>
      </c>
    </row>
    <row r="246" spans="1:10">
      <c r="A246" s="8" t="s">
        <v>469</v>
      </c>
      <c r="B246" s="1" t="s">
        <v>470</v>
      </c>
      <c r="C246" s="1" t="s">
        <v>0</v>
      </c>
      <c r="D246" s="9">
        <f>D247+D249</f>
        <v>158290.20000000001</v>
      </c>
      <c r="E246" s="9">
        <f>E247+E249</f>
        <v>158290.20000000001</v>
      </c>
      <c r="F246" s="9">
        <f t="shared" ref="F246:G246" si="127">F247+F249</f>
        <v>104617.8</v>
      </c>
      <c r="G246" s="9">
        <f t="shared" si="127"/>
        <v>104617.8</v>
      </c>
      <c r="H246" s="9">
        <f>H247+H249</f>
        <v>104382.67858000001</v>
      </c>
      <c r="I246" s="9">
        <f t="shared" si="125"/>
        <v>65.943866758649619</v>
      </c>
      <c r="J246" s="9">
        <f t="shared" si="126"/>
        <v>99.775256772748051</v>
      </c>
    </row>
    <row r="247" spans="1:10" ht="25.5">
      <c r="A247" s="8" t="s">
        <v>64</v>
      </c>
      <c r="B247" s="1" t="s">
        <v>470</v>
      </c>
      <c r="C247" s="1" t="s">
        <v>65</v>
      </c>
      <c r="D247" s="9">
        <f>D248</f>
        <v>1055.5999999999999</v>
      </c>
      <c r="E247" s="9">
        <f>E248</f>
        <v>1055.5999999999999</v>
      </c>
      <c r="F247" s="9">
        <f t="shared" ref="F247:G247" si="128">F248</f>
        <v>654.79999999999995</v>
      </c>
      <c r="G247" s="9">
        <f t="shared" si="128"/>
        <v>654.79999999999995</v>
      </c>
      <c r="H247" s="9">
        <f>H248</f>
        <v>644.93453999999997</v>
      </c>
      <c r="I247" s="9">
        <f t="shared" si="125"/>
        <v>61.09648920045472</v>
      </c>
      <c r="J247" s="9">
        <f t="shared" si="126"/>
        <v>98.493362858888219</v>
      </c>
    </row>
    <row r="248" spans="1:10" ht="25.5">
      <c r="A248" s="8" t="s">
        <v>66</v>
      </c>
      <c r="B248" s="1" t="s">
        <v>470</v>
      </c>
      <c r="C248" s="1" t="s">
        <v>67</v>
      </c>
      <c r="D248" s="9">
        <f>ведомство!G1229</f>
        <v>1055.5999999999999</v>
      </c>
      <c r="E248" s="9">
        <f>ведомство!H1229</f>
        <v>1055.5999999999999</v>
      </c>
      <c r="F248" s="9">
        <f>ведомство!I1229</f>
        <v>654.79999999999995</v>
      </c>
      <c r="G248" s="9">
        <f>ведомство!J1229</f>
        <v>654.79999999999995</v>
      </c>
      <c r="H248" s="9">
        <f>ведомство!K1229</f>
        <v>644.93453999999997</v>
      </c>
      <c r="I248" s="9">
        <f t="shared" si="125"/>
        <v>61.09648920045472</v>
      </c>
      <c r="J248" s="9">
        <f t="shared" si="126"/>
        <v>98.493362858888219</v>
      </c>
    </row>
    <row r="249" spans="1:10">
      <c r="A249" s="8" t="s">
        <v>68</v>
      </c>
      <c r="B249" s="1" t="s">
        <v>470</v>
      </c>
      <c r="C249" s="1" t="s">
        <v>69</v>
      </c>
      <c r="D249" s="9">
        <f>D250</f>
        <v>157234.6</v>
      </c>
      <c r="E249" s="9">
        <f>E250</f>
        <v>157234.6</v>
      </c>
      <c r="F249" s="9">
        <f t="shared" ref="F249:G249" si="129">F250</f>
        <v>103963</v>
      </c>
      <c r="G249" s="9">
        <f t="shared" si="129"/>
        <v>103963</v>
      </c>
      <c r="H249" s="9">
        <f>H250</f>
        <v>103737.74404000001</v>
      </c>
      <c r="I249" s="9">
        <f t="shared" si="125"/>
        <v>65.976409797843488</v>
      </c>
      <c r="J249" s="9">
        <f t="shared" si="126"/>
        <v>99.78333064648001</v>
      </c>
    </row>
    <row r="250" spans="1:10">
      <c r="A250" s="8" t="s">
        <v>463</v>
      </c>
      <c r="B250" s="1" t="s">
        <v>470</v>
      </c>
      <c r="C250" s="1" t="s">
        <v>464</v>
      </c>
      <c r="D250" s="9">
        <f>ведомство!G1231</f>
        <v>157234.6</v>
      </c>
      <c r="E250" s="9">
        <f>ведомство!H1231</f>
        <v>157234.6</v>
      </c>
      <c r="F250" s="9">
        <f>ведомство!I1231</f>
        <v>103963</v>
      </c>
      <c r="G250" s="9">
        <f>ведомство!J1231</f>
        <v>103963</v>
      </c>
      <c r="H250" s="9">
        <f>ведомство!K1231</f>
        <v>103737.74404000001</v>
      </c>
      <c r="I250" s="9">
        <f t="shared" si="125"/>
        <v>65.976409797843488</v>
      </c>
      <c r="J250" s="9">
        <f t="shared" si="126"/>
        <v>99.78333064648001</v>
      </c>
    </row>
    <row r="251" spans="1:10" ht="76.5">
      <c r="A251" s="8" t="s">
        <v>471</v>
      </c>
      <c r="B251" s="1" t="s">
        <v>472</v>
      </c>
      <c r="C251" s="1" t="s">
        <v>0</v>
      </c>
      <c r="D251" s="9">
        <f>D252</f>
        <v>7861.8</v>
      </c>
      <c r="E251" s="9">
        <f>E252</f>
        <v>7861.8</v>
      </c>
      <c r="F251" s="9">
        <f t="shared" ref="F251:G252" si="130">F252</f>
        <v>3508.6012300000002</v>
      </c>
      <c r="G251" s="9">
        <f t="shared" si="130"/>
        <v>3508.6012300000002</v>
      </c>
      <c r="H251" s="9">
        <f>H252</f>
        <v>3495.3468499999999</v>
      </c>
      <c r="I251" s="9">
        <f t="shared" si="125"/>
        <v>44.459880052914095</v>
      </c>
      <c r="J251" s="9">
        <f t="shared" si="126"/>
        <v>99.622231791784429</v>
      </c>
    </row>
    <row r="252" spans="1:10">
      <c r="A252" s="8" t="s">
        <v>68</v>
      </c>
      <c r="B252" s="1" t="s">
        <v>472</v>
      </c>
      <c r="C252" s="1" t="s">
        <v>69</v>
      </c>
      <c r="D252" s="9">
        <f>D253</f>
        <v>7861.8</v>
      </c>
      <c r="E252" s="9">
        <f>E253</f>
        <v>7861.8</v>
      </c>
      <c r="F252" s="9">
        <f t="shared" si="130"/>
        <v>3508.6012300000002</v>
      </c>
      <c r="G252" s="9">
        <f t="shared" si="130"/>
        <v>3508.6012300000002</v>
      </c>
      <c r="H252" s="9">
        <f>H253</f>
        <v>3495.3468499999999</v>
      </c>
      <c r="I252" s="9">
        <f t="shared" si="125"/>
        <v>44.459880052914095</v>
      </c>
      <c r="J252" s="9">
        <f t="shared" si="126"/>
        <v>99.622231791784429</v>
      </c>
    </row>
    <row r="253" spans="1:10" ht="25.5">
      <c r="A253" s="8" t="s">
        <v>151</v>
      </c>
      <c r="B253" s="1" t="s">
        <v>472</v>
      </c>
      <c r="C253" s="1" t="s">
        <v>152</v>
      </c>
      <c r="D253" s="9">
        <f>ведомство!G1234</f>
        <v>7861.8</v>
      </c>
      <c r="E253" s="9">
        <f>ведомство!H1234</f>
        <v>7861.8</v>
      </c>
      <c r="F253" s="9">
        <f>ведомство!I1234</f>
        <v>3508.6012300000002</v>
      </c>
      <c r="G253" s="9">
        <f>ведомство!J1234</f>
        <v>3508.6012300000002</v>
      </c>
      <c r="H253" s="9">
        <f>ведомство!K1234</f>
        <v>3495.3468499999999</v>
      </c>
      <c r="I253" s="9">
        <f t="shared" si="125"/>
        <v>44.459880052914095</v>
      </c>
      <c r="J253" s="9">
        <f t="shared" si="126"/>
        <v>99.622231791784429</v>
      </c>
    </row>
    <row r="254" spans="1:10" ht="51">
      <c r="A254" s="8" t="s">
        <v>430</v>
      </c>
      <c r="B254" s="1" t="s">
        <v>431</v>
      </c>
      <c r="C254" s="1" t="s">
        <v>0</v>
      </c>
      <c r="D254" s="9">
        <f>D255</f>
        <v>261.60000000000002</v>
      </c>
      <c r="E254" s="9">
        <f>E255</f>
        <v>261.58237000000003</v>
      </c>
      <c r="F254" s="9">
        <f t="shared" ref="F254:G255" si="131">F255</f>
        <v>261.58237000000003</v>
      </c>
      <c r="G254" s="9">
        <f t="shared" si="131"/>
        <v>261.58237000000003</v>
      </c>
      <c r="H254" s="9">
        <f>H255</f>
        <v>261.58237000000003</v>
      </c>
      <c r="I254" s="9">
        <f t="shared" si="125"/>
        <v>100</v>
      </c>
      <c r="J254" s="9">
        <f t="shared" si="126"/>
        <v>100</v>
      </c>
    </row>
    <row r="255" spans="1:10">
      <c r="A255" s="8" t="s">
        <v>26</v>
      </c>
      <c r="B255" s="1" t="s">
        <v>431</v>
      </c>
      <c r="C255" s="1" t="s">
        <v>27</v>
      </c>
      <c r="D255" s="9">
        <f>D256</f>
        <v>261.60000000000002</v>
      </c>
      <c r="E255" s="9">
        <f>E256</f>
        <v>261.58237000000003</v>
      </c>
      <c r="F255" s="9">
        <f t="shared" si="131"/>
        <v>261.58237000000003</v>
      </c>
      <c r="G255" s="9">
        <f t="shared" si="131"/>
        <v>261.58237000000003</v>
      </c>
      <c r="H255" s="9">
        <f>H256</f>
        <v>261.58237000000003</v>
      </c>
      <c r="I255" s="9">
        <f t="shared" si="125"/>
        <v>100</v>
      </c>
      <c r="J255" s="9">
        <f t="shared" si="126"/>
        <v>100</v>
      </c>
    </row>
    <row r="256" spans="1:10">
      <c r="A256" s="8" t="s">
        <v>56</v>
      </c>
      <c r="B256" s="1" t="s">
        <v>431</v>
      </c>
      <c r="C256" s="1" t="s">
        <v>57</v>
      </c>
      <c r="D256" s="9">
        <f>ведомство!G1115</f>
        <v>261.60000000000002</v>
      </c>
      <c r="E256" s="9">
        <f>ведомство!H1115</f>
        <v>261.58237000000003</v>
      </c>
      <c r="F256" s="9">
        <f>ведомство!I1115</f>
        <v>261.58237000000003</v>
      </c>
      <c r="G256" s="9">
        <f>ведомство!J1115</f>
        <v>261.58237000000003</v>
      </c>
      <c r="H256" s="9">
        <f>ведомство!K1115</f>
        <v>261.58237000000003</v>
      </c>
      <c r="I256" s="9">
        <f t="shared" si="125"/>
        <v>100</v>
      </c>
      <c r="J256" s="9">
        <f t="shared" si="126"/>
        <v>100</v>
      </c>
    </row>
    <row r="257" spans="1:10" ht="63.75">
      <c r="A257" s="8" t="s">
        <v>473</v>
      </c>
      <c r="B257" s="1" t="s">
        <v>474</v>
      </c>
      <c r="C257" s="1" t="s">
        <v>0</v>
      </c>
      <c r="D257" s="9">
        <f>D258</f>
        <v>20604.2</v>
      </c>
      <c r="E257" s="9">
        <f>E258</f>
        <v>20604.2</v>
      </c>
      <c r="F257" s="9">
        <f t="shared" ref="F257:G258" si="132">F258</f>
        <v>17910.475999999999</v>
      </c>
      <c r="G257" s="9">
        <f t="shared" si="132"/>
        <v>17910.475999999999</v>
      </c>
      <c r="H257" s="9">
        <f>H258</f>
        <v>17902.376</v>
      </c>
      <c r="I257" s="9">
        <f t="shared" si="125"/>
        <v>86.887023034138664</v>
      </c>
      <c r="J257" s="9">
        <f t="shared" si="126"/>
        <v>99.954775071304653</v>
      </c>
    </row>
    <row r="258" spans="1:10">
      <c r="A258" s="8" t="s">
        <v>26</v>
      </c>
      <c r="B258" s="1" t="s">
        <v>474</v>
      </c>
      <c r="C258" s="1" t="s">
        <v>27</v>
      </c>
      <c r="D258" s="9">
        <f>D259</f>
        <v>20604.2</v>
      </c>
      <c r="E258" s="9">
        <f>E259</f>
        <v>20604.2</v>
      </c>
      <c r="F258" s="9">
        <f t="shared" si="132"/>
        <v>17910.475999999999</v>
      </c>
      <c r="G258" s="9">
        <f t="shared" si="132"/>
        <v>17910.475999999999</v>
      </c>
      <c r="H258" s="9">
        <f>H259</f>
        <v>17902.376</v>
      </c>
      <c r="I258" s="9">
        <f t="shared" si="125"/>
        <v>86.887023034138664</v>
      </c>
      <c r="J258" s="9">
        <f t="shared" si="126"/>
        <v>99.954775071304653</v>
      </c>
    </row>
    <row r="259" spans="1:10">
      <c r="A259" s="8" t="s">
        <v>28</v>
      </c>
      <c r="B259" s="1" t="s">
        <v>474</v>
      </c>
      <c r="C259" s="1" t="s">
        <v>29</v>
      </c>
      <c r="D259" s="9">
        <f>ведомство!G1237</f>
        <v>20604.2</v>
      </c>
      <c r="E259" s="9">
        <f>ведомство!H1237</f>
        <v>20604.2</v>
      </c>
      <c r="F259" s="9">
        <f>ведомство!I1237</f>
        <v>17910.475999999999</v>
      </c>
      <c r="G259" s="9">
        <f>ведомство!J1237</f>
        <v>17910.475999999999</v>
      </c>
      <c r="H259" s="9">
        <f>ведомство!K1237</f>
        <v>17902.376</v>
      </c>
      <c r="I259" s="9">
        <f t="shared" si="125"/>
        <v>86.887023034138664</v>
      </c>
      <c r="J259" s="9">
        <f t="shared" si="126"/>
        <v>99.954775071304653</v>
      </c>
    </row>
    <row r="260" spans="1:10" ht="25.5">
      <c r="A260" s="8" t="s">
        <v>478</v>
      </c>
      <c r="B260" s="1" t="s">
        <v>479</v>
      </c>
      <c r="C260" s="1" t="s">
        <v>0</v>
      </c>
      <c r="D260" s="9">
        <f>D261</f>
        <v>109823.8</v>
      </c>
      <c r="E260" s="9">
        <f>E261</f>
        <v>109823.8</v>
      </c>
      <c r="F260" s="9">
        <f t="shared" ref="F260:G261" si="133">F261</f>
        <v>83066.87</v>
      </c>
      <c r="G260" s="9">
        <f t="shared" si="133"/>
        <v>83066.87</v>
      </c>
      <c r="H260" s="9">
        <f>H261</f>
        <v>75598.100550000003</v>
      </c>
      <c r="I260" s="9">
        <f t="shared" si="125"/>
        <v>68.835808404007153</v>
      </c>
      <c r="J260" s="9">
        <f t="shared" si="126"/>
        <v>91.008726523582752</v>
      </c>
    </row>
    <row r="261" spans="1:10">
      <c r="A261" s="8" t="s">
        <v>26</v>
      </c>
      <c r="B261" s="1" t="s">
        <v>479</v>
      </c>
      <c r="C261" s="1" t="s">
        <v>27</v>
      </c>
      <c r="D261" s="9">
        <f>D262</f>
        <v>109823.8</v>
      </c>
      <c r="E261" s="9">
        <f>E262</f>
        <v>109823.8</v>
      </c>
      <c r="F261" s="9">
        <f t="shared" si="133"/>
        <v>83066.87</v>
      </c>
      <c r="G261" s="9">
        <f t="shared" si="133"/>
        <v>83066.87</v>
      </c>
      <c r="H261" s="9">
        <f>H262</f>
        <v>75598.100550000003</v>
      </c>
      <c r="I261" s="9">
        <f t="shared" si="125"/>
        <v>68.835808404007153</v>
      </c>
      <c r="J261" s="9">
        <f t="shared" si="126"/>
        <v>91.008726523582752</v>
      </c>
    </row>
    <row r="262" spans="1:10">
      <c r="A262" s="8" t="s">
        <v>28</v>
      </c>
      <c r="B262" s="1" t="s">
        <v>479</v>
      </c>
      <c r="C262" s="1" t="s">
        <v>29</v>
      </c>
      <c r="D262" s="9">
        <f>ведомство!G1246</f>
        <v>109823.8</v>
      </c>
      <c r="E262" s="9">
        <f>ведомство!H1246</f>
        <v>109823.8</v>
      </c>
      <c r="F262" s="9">
        <f>ведомство!I1246</f>
        <v>83066.87</v>
      </c>
      <c r="G262" s="9">
        <f>ведомство!J1246</f>
        <v>83066.87</v>
      </c>
      <c r="H262" s="9">
        <f>ведомство!K1246</f>
        <v>75598.100550000003</v>
      </c>
      <c r="I262" s="9">
        <f t="shared" si="125"/>
        <v>68.835808404007153</v>
      </c>
      <c r="J262" s="9">
        <f t="shared" si="126"/>
        <v>91.008726523582752</v>
      </c>
    </row>
    <row r="263" spans="1:10" s="88" customFormat="1" ht="25.5">
      <c r="A263" s="59" t="s">
        <v>1243</v>
      </c>
      <c r="B263" s="29" t="s">
        <v>1242</v>
      </c>
      <c r="C263" s="28"/>
      <c r="D263" s="9">
        <f>D264+D266+D268</f>
        <v>6385.4999999999991</v>
      </c>
      <c r="E263" s="9">
        <f t="shared" ref="E263" si="134">E264+E266+E268</f>
        <v>6385.5</v>
      </c>
      <c r="F263" s="9">
        <f t="shared" ref="F263:H263" si="135">F264+F266+F268</f>
        <v>3368.1224999999999</v>
      </c>
      <c r="G263" s="9">
        <f t="shared" si="135"/>
        <v>3368.1224999999999</v>
      </c>
      <c r="H263" s="9">
        <f t="shared" si="135"/>
        <v>2569.9349999999999</v>
      </c>
      <c r="I263" s="9">
        <f t="shared" ref="I263:I269" si="136">H263/E263*100</f>
        <v>40.246417665022314</v>
      </c>
      <c r="J263" s="9">
        <f t="shared" ref="J263:J267" si="137">H263/F263*100</f>
        <v>76.301708147491667</v>
      </c>
    </row>
    <row r="264" spans="1:10" s="88" customFormat="1" ht="25.5">
      <c r="A264" s="59" t="s">
        <v>64</v>
      </c>
      <c r="B264" s="29" t="s">
        <v>1242</v>
      </c>
      <c r="C264" s="28">
        <v>200</v>
      </c>
      <c r="D264" s="9">
        <f>D265</f>
        <v>2419.1999999999998</v>
      </c>
      <c r="E264" s="9">
        <f t="shared" ref="E264:H264" si="138">E265</f>
        <v>2419.19</v>
      </c>
      <c r="F264" s="9">
        <f t="shared" si="138"/>
        <v>0</v>
      </c>
      <c r="G264" s="9">
        <f t="shared" si="138"/>
        <v>0</v>
      </c>
      <c r="H264" s="9">
        <f t="shared" si="138"/>
        <v>0</v>
      </c>
      <c r="I264" s="9">
        <f t="shared" si="136"/>
        <v>0</v>
      </c>
      <c r="J264" s="9">
        <v>0</v>
      </c>
    </row>
    <row r="265" spans="1:10" s="88" customFormat="1" ht="25.5">
      <c r="A265" s="59" t="s">
        <v>66</v>
      </c>
      <c r="B265" s="29" t="s">
        <v>1242</v>
      </c>
      <c r="C265" s="28">
        <v>240</v>
      </c>
      <c r="D265" s="9">
        <f>ведомство!G1118</f>
        <v>2419.1999999999998</v>
      </c>
      <c r="E265" s="9">
        <f>ведомство!H1118</f>
        <v>2419.19</v>
      </c>
      <c r="F265" s="9">
        <f>ведомство!I1118</f>
        <v>0</v>
      </c>
      <c r="G265" s="9">
        <f>ведомство!J1118</f>
        <v>0</v>
      </c>
      <c r="H265" s="9">
        <f>ведомство!K1118</f>
        <v>0</v>
      </c>
      <c r="I265" s="9">
        <f t="shared" si="136"/>
        <v>0</v>
      </c>
      <c r="J265" s="9">
        <v>0</v>
      </c>
    </row>
    <row r="266" spans="1:10" s="88" customFormat="1">
      <c r="A266" s="59" t="s">
        <v>26</v>
      </c>
      <c r="B266" s="29" t="s">
        <v>1242</v>
      </c>
      <c r="C266" s="28">
        <v>500</v>
      </c>
      <c r="D266" s="9">
        <f>D267</f>
        <v>3368.1</v>
      </c>
      <c r="E266" s="9">
        <f t="shared" ref="E266:H266" si="139">E267</f>
        <v>3368.1224999999999</v>
      </c>
      <c r="F266" s="9">
        <f t="shared" si="139"/>
        <v>3368.1224999999999</v>
      </c>
      <c r="G266" s="9">
        <f t="shared" si="139"/>
        <v>3368.1224999999999</v>
      </c>
      <c r="H266" s="9">
        <f t="shared" si="139"/>
        <v>2569.9349999999999</v>
      </c>
      <c r="I266" s="9">
        <f t="shared" si="136"/>
        <v>76.301708147491667</v>
      </c>
      <c r="J266" s="9">
        <f t="shared" si="137"/>
        <v>76.301708147491667</v>
      </c>
    </row>
    <row r="267" spans="1:10" s="88" customFormat="1">
      <c r="A267" s="59" t="s">
        <v>56</v>
      </c>
      <c r="B267" s="29" t="s">
        <v>1242</v>
      </c>
      <c r="C267" s="28">
        <v>520</v>
      </c>
      <c r="D267" s="9">
        <f>ведомство!G1120</f>
        <v>3368.1</v>
      </c>
      <c r="E267" s="9">
        <f>ведомство!H1120</f>
        <v>3368.1224999999999</v>
      </c>
      <c r="F267" s="9">
        <f>ведомство!I1120</f>
        <v>3368.1224999999999</v>
      </c>
      <c r="G267" s="9">
        <f>ведомство!J1120</f>
        <v>3368.1224999999999</v>
      </c>
      <c r="H267" s="9">
        <f>ведомство!K1120</f>
        <v>2569.9349999999999</v>
      </c>
      <c r="I267" s="9">
        <f t="shared" si="136"/>
        <v>76.301708147491667</v>
      </c>
      <c r="J267" s="9">
        <f t="shared" si="137"/>
        <v>76.301708147491667</v>
      </c>
    </row>
    <row r="268" spans="1:10" s="88" customFormat="1" ht="25.5">
      <c r="A268" s="59" t="s">
        <v>80</v>
      </c>
      <c r="B268" s="29" t="s">
        <v>1242</v>
      </c>
      <c r="C268" s="28">
        <v>600</v>
      </c>
      <c r="D268" s="9">
        <f>D269</f>
        <v>598.20000000000005</v>
      </c>
      <c r="E268" s="9">
        <f t="shared" ref="E268:H268" si="140">E269</f>
        <v>598.1875</v>
      </c>
      <c r="F268" s="9">
        <f t="shared" si="140"/>
        <v>0</v>
      </c>
      <c r="G268" s="9">
        <f t="shared" si="140"/>
        <v>0</v>
      </c>
      <c r="H268" s="9">
        <f t="shared" si="140"/>
        <v>0</v>
      </c>
      <c r="I268" s="9">
        <f t="shared" si="136"/>
        <v>0</v>
      </c>
      <c r="J268" s="9">
        <v>0</v>
      </c>
    </row>
    <row r="269" spans="1:10" s="88" customFormat="1">
      <c r="A269" s="59" t="s">
        <v>271</v>
      </c>
      <c r="B269" s="29" t="s">
        <v>1242</v>
      </c>
      <c r="C269" s="28">
        <v>610</v>
      </c>
      <c r="D269" s="9">
        <f>ведомство!G1122</f>
        <v>598.20000000000005</v>
      </c>
      <c r="E269" s="9">
        <f>ведомство!H1122</f>
        <v>598.1875</v>
      </c>
      <c r="F269" s="9">
        <f>ведомство!I1122</f>
        <v>0</v>
      </c>
      <c r="G269" s="9">
        <f>ведомство!J1122</f>
        <v>0</v>
      </c>
      <c r="H269" s="9">
        <f>ведомство!K1122</f>
        <v>0</v>
      </c>
      <c r="I269" s="9">
        <f t="shared" si="136"/>
        <v>0</v>
      </c>
      <c r="J269" s="9">
        <v>0</v>
      </c>
    </row>
    <row r="270" spans="1:10" ht="51">
      <c r="A270" s="8" t="s">
        <v>475</v>
      </c>
      <c r="B270" s="1" t="s">
        <v>476</v>
      </c>
      <c r="C270" s="1" t="s">
        <v>0</v>
      </c>
      <c r="D270" s="9">
        <f>D271</f>
        <v>74693.7</v>
      </c>
      <c r="E270" s="9">
        <f>E271</f>
        <v>74693.654639999993</v>
      </c>
      <c r="F270" s="9">
        <f t="shared" ref="F270:G271" si="141">F271</f>
        <v>64627.647100000002</v>
      </c>
      <c r="G270" s="9">
        <f t="shared" si="141"/>
        <v>64627.647100000002</v>
      </c>
      <c r="H270" s="9">
        <f>H271</f>
        <v>56333.914250000002</v>
      </c>
      <c r="I270" s="9">
        <f t="shared" si="125"/>
        <v>75.419946341508947</v>
      </c>
      <c r="J270" s="9">
        <f t="shared" si="126"/>
        <v>87.166896487556016</v>
      </c>
    </row>
    <row r="271" spans="1:10">
      <c r="A271" s="8" t="s">
        <v>26</v>
      </c>
      <c r="B271" s="1" t="s">
        <v>476</v>
      </c>
      <c r="C271" s="1" t="s">
        <v>27</v>
      </c>
      <c r="D271" s="9">
        <f>D272</f>
        <v>74693.7</v>
      </c>
      <c r="E271" s="9">
        <f>E272</f>
        <v>74693.654639999993</v>
      </c>
      <c r="F271" s="9">
        <f t="shared" si="141"/>
        <v>64627.647100000002</v>
      </c>
      <c r="G271" s="9">
        <f t="shared" si="141"/>
        <v>64627.647100000002</v>
      </c>
      <c r="H271" s="9">
        <f>H272</f>
        <v>56333.914250000002</v>
      </c>
      <c r="I271" s="9">
        <f t="shared" si="125"/>
        <v>75.419946341508947</v>
      </c>
      <c r="J271" s="9">
        <f t="shared" si="126"/>
        <v>87.166896487556016</v>
      </c>
    </row>
    <row r="272" spans="1:10">
      <c r="A272" s="8" t="s">
        <v>28</v>
      </c>
      <c r="B272" s="1" t="s">
        <v>476</v>
      </c>
      <c r="C272" s="1" t="s">
        <v>29</v>
      </c>
      <c r="D272" s="9">
        <f>ведомство!G1240</f>
        <v>74693.7</v>
      </c>
      <c r="E272" s="9">
        <f>ведомство!H1240</f>
        <v>74693.654639999993</v>
      </c>
      <c r="F272" s="9">
        <f>ведомство!I1240</f>
        <v>64627.647100000002</v>
      </c>
      <c r="G272" s="9">
        <f>ведомство!J1240</f>
        <v>64627.647100000002</v>
      </c>
      <c r="H272" s="9">
        <f>ведомство!K1240</f>
        <v>56333.914250000002</v>
      </c>
      <c r="I272" s="9">
        <f t="shared" si="125"/>
        <v>75.419946341508947</v>
      </c>
      <c r="J272" s="9">
        <f t="shared" si="126"/>
        <v>87.166896487556016</v>
      </c>
    </row>
    <row r="273" spans="1:10">
      <c r="A273" s="4" t="s">
        <v>0</v>
      </c>
      <c r="B273" s="17" t="s">
        <v>0</v>
      </c>
      <c r="C273" s="5" t="s">
        <v>0</v>
      </c>
      <c r="D273" s="7" t="s">
        <v>0</v>
      </c>
      <c r="E273" s="7" t="s">
        <v>0</v>
      </c>
      <c r="F273" s="7" t="s">
        <v>0</v>
      </c>
      <c r="G273" s="7" t="s">
        <v>0</v>
      </c>
      <c r="H273" s="7" t="s">
        <v>0</v>
      </c>
      <c r="I273" s="7"/>
      <c r="J273" s="7"/>
    </row>
    <row r="274" spans="1:10" ht="25.5">
      <c r="A274" s="4" t="s">
        <v>403</v>
      </c>
      <c r="B274" s="5" t="s">
        <v>404</v>
      </c>
      <c r="C274" s="5" t="s">
        <v>0</v>
      </c>
      <c r="D274" s="7">
        <f>D275+D281+D285+D288+D291</f>
        <v>2057515.6</v>
      </c>
      <c r="E274" s="7">
        <f>E275+E281+E285+E288+E291+E278+E295</f>
        <v>2060092.044</v>
      </c>
      <c r="F274" s="7">
        <f t="shared" ref="F274:G274" si="142">F275+F281+F285+F288+F291+F278+F295</f>
        <v>1491531.9339999999</v>
      </c>
      <c r="G274" s="7">
        <f t="shared" si="142"/>
        <v>1491531.9339999999</v>
      </c>
      <c r="H274" s="7">
        <f>H275+H281+H285+H288+H291+H278+H295</f>
        <v>1491331.9339999999</v>
      </c>
      <c r="I274" s="7">
        <f t="shared" si="125"/>
        <v>72.391519512125242</v>
      </c>
      <c r="J274" s="7">
        <f t="shared" si="126"/>
        <v>99.986590967619208</v>
      </c>
    </row>
    <row r="275" spans="1:10" ht="63.75">
      <c r="A275" s="8" t="s">
        <v>1141</v>
      </c>
      <c r="B275" s="24" t="s">
        <v>1140</v>
      </c>
      <c r="C275" s="6"/>
      <c r="D275" s="22">
        <f>D276</f>
        <v>0</v>
      </c>
      <c r="E275" s="22">
        <f>E276</f>
        <v>595.20000000000005</v>
      </c>
      <c r="F275" s="22">
        <f t="shared" ref="F275:G276" si="143">F276</f>
        <v>595.20000000000005</v>
      </c>
      <c r="G275" s="22">
        <f t="shared" si="143"/>
        <v>595.20000000000005</v>
      </c>
      <c r="H275" s="22">
        <f>H276</f>
        <v>595.20000000000005</v>
      </c>
      <c r="I275" s="22">
        <f t="shared" si="125"/>
        <v>100</v>
      </c>
      <c r="J275" s="22">
        <f t="shared" si="126"/>
        <v>100</v>
      </c>
    </row>
    <row r="276" spans="1:10">
      <c r="A276" s="8" t="s">
        <v>68</v>
      </c>
      <c r="B276" s="24" t="s">
        <v>1140</v>
      </c>
      <c r="C276" s="6">
        <v>300</v>
      </c>
      <c r="D276" s="22">
        <f>D277</f>
        <v>0</v>
      </c>
      <c r="E276" s="22">
        <f>E277</f>
        <v>595.20000000000005</v>
      </c>
      <c r="F276" s="22">
        <f t="shared" si="143"/>
        <v>595.20000000000005</v>
      </c>
      <c r="G276" s="22">
        <f t="shared" si="143"/>
        <v>595.20000000000005</v>
      </c>
      <c r="H276" s="22">
        <f>H277</f>
        <v>595.20000000000005</v>
      </c>
      <c r="I276" s="22">
        <f t="shared" si="125"/>
        <v>100</v>
      </c>
      <c r="J276" s="22">
        <f t="shared" si="126"/>
        <v>100</v>
      </c>
    </row>
    <row r="277" spans="1:10">
      <c r="A277" s="8" t="s">
        <v>70</v>
      </c>
      <c r="B277" s="24" t="s">
        <v>1140</v>
      </c>
      <c r="C277" s="6">
        <v>360</v>
      </c>
      <c r="D277" s="22">
        <f>ведомство!G1023</f>
        <v>0</v>
      </c>
      <c r="E277" s="22">
        <f>ведомство!H1023</f>
        <v>595.20000000000005</v>
      </c>
      <c r="F277" s="22">
        <f>ведомство!I1023</f>
        <v>595.20000000000005</v>
      </c>
      <c r="G277" s="22">
        <f>ведомство!J1023</f>
        <v>595.20000000000005</v>
      </c>
      <c r="H277" s="22">
        <f>ведомство!K1023</f>
        <v>595.20000000000005</v>
      </c>
      <c r="I277" s="22">
        <f t="shared" si="125"/>
        <v>100</v>
      </c>
      <c r="J277" s="22">
        <f t="shared" si="126"/>
        <v>100</v>
      </c>
    </row>
    <row r="278" spans="1:10" s="91" customFormat="1" ht="25.5">
      <c r="A278" s="59" t="s">
        <v>1257</v>
      </c>
      <c r="B278" s="29" t="s">
        <v>1263</v>
      </c>
      <c r="C278" s="58"/>
      <c r="D278" s="22">
        <v>0</v>
      </c>
      <c r="E278" s="22">
        <f>E279</f>
        <v>2281.1999999999998</v>
      </c>
      <c r="F278" s="22">
        <f t="shared" ref="F278:G279" si="144">F279</f>
        <v>1281.2</v>
      </c>
      <c r="G278" s="22">
        <f t="shared" si="144"/>
        <v>1281.2</v>
      </c>
      <c r="H278" s="22">
        <f>H279</f>
        <v>1281.2</v>
      </c>
      <c r="I278" s="22">
        <f t="shared" ref="I278:I280" si="145">H278/E278*100</f>
        <v>56.163422759950912</v>
      </c>
      <c r="J278" s="22">
        <f t="shared" ref="J278:J280" si="146">H278/F278*100</f>
        <v>100</v>
      </c>
    </row>
    <row r="279" spans="1:10" s="91" customFormat="1" ht="25.5">
      <c r="A279" s="59" t="s">
        <v>80</v>
      </c>
      <c r="B279" s="29" t="s">
        <v>1263</v>
      </c>
      <c r="C279" s="28">
        <v>600</v>
      </c>
      <c r="D279" s="22">
        <v>0</v>
      </c>
      <c r="E279" s="22">
        <f>E280</f>
        <v>2281.1999999999998</v>
      </c>
      <c r="F279" s="22">
        <f t="shared" si="144"/>
        <v>1281.2</v>
      </c>
      <c r="G279" s="22">
        <f t="shared" si="144"/>
        <v>1281.2</v>
      </c>
      <c r="H279" s="22">
        <f>H280</f>
        <v>1281.2</v>
      </c>
      <c r="I279" s="22">
        <f t="shared" si="145"/>
        <v>56.163422759950912</v>
      </c>
      <c r="J279" s="22">
        <f t="shared" si="146"/>
        <v>100</v>
      </c>
    </row>
    <row r="280" spans="1:10" s="91" customFormat="1">
      <c r="A280" s="59" t="s">
        <v>82</v>
      </c>
      <c r="B280" s="29" t="s">
        <v>1263</v>
      </c>
      <c r="C280" s="28">
        <v>620</v>
      </c>
      <c r="D280" s="22">
        <v>0</v>
      </c>
      <c r="E280" s="22">
        <f>ведомство!H1026</f>
        <v>2281.1999999999998</v>
      </c>
      <c r="F280" s="22">
        <f>ведомство!I1026</f>
        <v>1281.2</v>
      </c>
      <c r="G280" s="22">
        <f>ведомство!J1026</f>
        <v>1281.2</v>
      </c>
      <c r="H280" s="22">
        <f>ведомство!K1026</f>
        <v>1281.2</v>
      </c>
      <c r="I280" s="22">
        <f t="shared" si="145"/>
        <v>56.163422759950912</v>
      </c>
      <c r="J280" s="22">
        <f t="shared" si="146"/>
        <v>100</v>
      </c>
    </row>
    <row r="281" spans="1:10" ht="25.5">
      <c r="A281" s="8" t="s">
        <v>76</v>
      </c>
      <c r="B281" s="1" t="s">
        <v>405</v>
      </c>
      <c r="C281" s="1" t="s">
        <v>0</v>
      </c>
      <c r="D281" s="9">
        <f>D282</f>
        <v>2023664.5</v>
      </c>
      <c r="E281" s="9">
        <f>E282</f>
        <v>2022360.344</v>
      </c>
      <c r="F281" s="9">
        <f t="shared" ref="F281:G281" si="147">F282</f>
        <v>1475229.6740000001</v>
      </c>
      <c r="G281" s="9">
        <f t="shared" si="147"/>
        <v>1475229.6740000001</v>
      </c>
      <c r="H281" s="9">
        <f>H282</f>
        <v>1475229.6740000001</v>
      </c>
      <c r="I281" s="9">
        <f t="shared" si="125"/>
        <v>72.945935593365263</v>
      </c>
      <c r="J281" s="9">
        <f t="shared" si="126"/>
        <v>100</v>
      </c>
    </row>
    <row r="282" spans="1:10" ht="25.5">
      <c r="A282" s="8" t="s">
        <v>80</v>
      </c>
      <c r="B282" s="1" t="s">
        <v>405</v>
      </c>
      <c r="C282" s="1" t="s">
        <v>81</v>
      </c>
      <c r="D282" s="9">
        <f>D283+D284</f>
        <v>2023664.5</v>
      </c>
      <c r="E282" s="9">
        <f>E283+E284</f>
        <v>2022360.344</v>
      </c>
      <c r="F282" s="9">
        <f t="shared" ref="F282:G282" si="148">F283+F284</f>
        <v>1475229.6740000001</v>
      </c>
      <c r="G282" s="9">
        <f t="shared" si="148"/>
        <v>1475229.6740000001</v>
      </c>
      <c r="H282" s="9">
        <f>H283+H284</f>
        <v>1475229.6740000001</v>
      </c>
      <c r="I282" s="9">
        <f t="shared" si="125"/>
        <v>72.945935593365263</v>
      </c>
      <c r="J282" s="9">
        <f t="shared" si="126"/>
        <v>100</v>
      </c>
    </row>
    <row r="283" spans="1:10">
      <c r="A283" s="8" t="s">
        <v>271</v>
      </c>
      <c r="B283" s="1" t="s">
        <v>405</v>
      </c>
      <c r="C283" s="1" t="s">
        <v>272</v>
      </c>
      <c r="D283" s="9">
        <f>ведомство!G994+ведомство!G1029</f>
        <v>1089624.6000000001</v>
      </c>
      <c r="E283" s="9">
        <f>ведомство!H994+ведомство!H1029</f>
        <v>1096371.713</v>
      </c>
      <c r="F283" s="9">
        <f>ведомство!I994+ведомство!I1029</f>
        <v>801990.8</v>
      </c>
      <c r="G283" s="9">
        <f>ведомство!J994+ведомство!J1029</f>
        <v>801990.8</v>
      </c>
      <c r="H283" s="9">
        <f>ведомство!K994+ведомство!K1029</f>
        <v>801990.8</v>
      </c>
      <c r="I283" s="9">
        <f t="shared" si="125"/>
        <v>73.149534094190926</v>
      </c>
      <c r="J283" s="9">
        <f t="shared" si="126"/>
        <v>100</v>
      </c>
    </row>
    <row r="284" spans="1:10">
      <c r="A284" s="8" t="s">
        <v>82</v>
      </c>
      <c r="B284" s="1" t="s">
        <v>405</v>
      </c>
      <c r="C284" s="1" t="s">
        <v>83</v>
      </c>
      <c r="D284" s="9">
        <f>ведомство!G1030</f>
        <v>934039.9</v>
      </c>
      <c r="E284" s="9">
        <f>ведомство!H1030</f>
        <v>925988.63100000005</v>
      </c>
      <c r="F284" s="9">
        <f>ведомство!I1030</f>
        <v>673238.87399999995</v>
      </c>
      <c r="G284" s="9">
        <f>ведомство!J1030</f>
        <v>673238.87399999995</v>
      </c>
      <c r="H284" s="9">
        <f>ведомство!K1030</f>
        <v>673238.87399999995</v>
      </c>
      <c r="I284" s="9">
        <f t="shared" si="125"/>
        <v>72.704874710281402</v>
      </c>
      <c r="J284" s="9">
        <f t="shared" si="126"/>
        <v>100</v>
      </c>
    </row>
    <row r="285" spans="1:10" ht="63.75">
      <c r="A285" s="8" t="s">
        <v>367</v>
      </c>
      <c r="B285" s="1" t="s">
        <v>432</v>
      </c>
      <c r="C285" s="1" t="s">
        <v>0</v>
      </c>
      <c r="D285" s="9">
        <f>D286</f>
        <v>19357.099999999999</v>
      </c>
      <c r="E285" s="9">
        <f>E286</f>
        <v>19357.099999999999</v>
      </c>
      <c r="F285" s="9">
        <f t="shared" ref="F285:G286" si="149">F286</f>
        <v>0</v>
      </c>
      <c r="G285" s="9">
        <f t="shared" si="149"/>
        <v>0</v>
      </c>
      <c r="H285" s="9">
        <f>H286</f>
        <v>0</v>
      </c>
      <c r="I285" s="9">
        <f t="shared" si="125"/>
        <v>0</v>
      </c>
      <c r="J285" s="9">
        <v>0</v>
      </c>
    </row>
    <row r="286" spans="1:10">
      <c r="A286" s="8" t="s">
        <v>72</v>
      </c>
      <c r="B286" s="1" t="s">
        <v>432</v>
      </c>
      <c r="C286" s="1" t="s">
        <v>73</v>
      </c>
      <c r="D286" s="9">
        <f>D287</f>
        <v>19357.099999999999</v>
      </c>
      <c r="E286" s="9">
        <f>E287</f>
        <v>19357.099999999999</v>
      </c>
      <c r="F286" s="9">
        <f t="shared" si="149"/>
        <v>0</v>
      </c>
      <c r="G286" s="9">
        <f t="shared" si="149"/>
        <v>0</v>
      </c>
      <c r="H286" s="9">
        <f>H287</f>
        <v>0</v>
      </c>
      <c r="I286" s="9">
        <f t="shared" si="125"/>
        <v>0</v>
      </c>
      <c r="J286" s="9">
        <v>0</v>
      </c>
    </row>
    <row r="287" spans="1:10">
      <c r="A287" s="8" t="s">
        <v>369</v>
      </c>
      <c r="B287" s="1" t="s">
        <v>432</v>
      </c>
      <c r="C287" s="1" t="s">
        <v>370</v>
      </c>
      <c r="D287" s="9">
        <f>ведомство!G1126</f>
        <v>19357.099999999999</v>
      </c>
      <c r="E287" s="9">
        <f>ведомство!H1126</f>
        <v>19357.099999999999</v>
      </c>
      <c r="F287" s="9">
        <f>ведомство!I1126</f>
        <v>0</v>
      </c>
      <c r="G287" s="9">
        <f>ведомство!J1126</f>
        <v>0</v>
      </c>
      <c r="H287" s="9">
        <f>ведомство!K1126</f>
        <v>0</v>
      </c>
      <c r="I287" s="9">
        <f t="shared" si="125"/>
        <v>0</v>
      </c>
      <c r="J287" s="9">
        <v>0</v>
      </c>
    </row>
    <row r="288" spans="1:10" ht="25.5">
      <c r="A288" s="8" t="s">
        <v>408</v>
      </c>
      <c r="B288" s="1" t="s">
        <v>409</v>
      </c>
      <c r="C288" s="1" t="s">
        <v>0</v>
      </c>
      <c r="D288" s="9">
        <f>D289</f>
        <v>8500</v>
      </c>
      <c r="E288" s="9">
        <f>E289</f>
        <v>8500</v>
      </c>
      <c r="F288" s="9">
        <f t="shared" ref="F288:G289" si="150">F289</f>
        <v>8500</v>
      </c>
      <c r="G288" s="9">
        <f t="shared" si="150"/>
        <v>8500</v>
      </c>
      <c r="H288" s="9">
        <f>H289</f>
        <v>8500</v>
      </c>
      <c r="I288" s="9">
        <f t="shared" si="125"/>
        <v>100</v>
      </c>
      <c r="J288" s="9">
        <f t="shared" si="126"/>
        <v>100</v>
      </c>
    </row>
    <row r="289" spans="1:10" ht="25.5">
      <c r="A289" s="8" t="s">
        <v>39</v>
      </c>
      <c r="B289" s="1" t="s">
        <v>409</v>
      </c>
      <c r="C289" s="1" t="s">
        <v>40</v>
      </c>
      <c r="D289" s="9">
        <f>D290</f>
        <v>8500</v>
      </c>
      <c r="E289" s="9">
        <f>E290</f>
        <v>8500</v>
      </c>
      <c r="F289" s="9">
        <f t="shared" si="150"/>
        <v>8500</v>
      </c>
      <c r="G289" s="9">
        <f t="shared" si="150"/>
        <v>8500</v>
      </c>
      <c r="H289" s="9">
        <f>H290</f>
        <v>8500</v>
      </c>
      <c r="I289" s="9">
        <f t="shared" si="125"/>
        <v>100</v>
      </c>
      <c r="J289" s="9">
        <f t="shared" si="126"/>
        <v>100</v>
      </c>
    </row>
    <row r="290" spans="1:10" ht="76.5">
      <c r="A290" s="8" t="s">
        <v>410</v>
      </c>
      <c r="B290" s="1" t="s">
        <v>409</v>
      </c>
      <c r="C290" s="1" t="s">
        <v>411</v>
      </c>
      <c r="D290" s="9">
        <f>ведомство!G1033</f>
        <v>8500</v>
      </c>
      <c r="E290" s="9">
        <f>ведомство!H1033</f>
        <v>8500</v>
      </c>
      <c r="F290" s="9">
        <f>ведомство!I1033</f>
        <v>8500</v>
      </c>
      <c r="G290" s="9">
        <f>ведомство!J1033</f>
        <v>8500</v>
      </c>
      <c r="H290" s="9">
        <f>ведомство!K1033</f>
        <v>8500</v>
      </c>
      <c r="I290" s="9">
        <f t="shared" si="125"/>
        <v>100</v>
      </c>
      <c r="J290" s="9">
        <f t="shared" si="126"/>
        <v>100</v>
      </c>
    </row>
    <row r="291" spans="1:10">
      <c r="A291" s="8" t="s">
        <v>424</v>
      </c>
      <c r="B291" s="1" t="s">
        <v>433</v>
      </c>
      <c r="C291" s="1" t="s">
        <v>0</v>
      </c>
      <c r="D291" s="9">
        <f>D292</f>
        <v>5994</v>
      </c>
      <c r="E291" s="9">
        <f>E292</f>
        <v>5994</v>
      </c>
      <c r="F291" s="9">
        <f t="shared" ref="F291:G291" si="151">F292</f>
        <v>4921.66</v>
      </c>
      <c r="G291" s="9">
        <f t="shared" si="151"/>
        <v>4921.66</v>
      </c>
      <c r="H291" s="9">
        <f>H292</f>
        <v>4721.66</v>
      </c>
      <c r="I291" s="9">
        <f t="shared" si="125"/>
        <v>78.773106439773102</v>
      </c>
      <c r="J291" s="9">
        <f t="shared" si="126"/>
        <v>95.936330425100465</v>
      </c>
    </row>
    <row r="292" spans="1:10" ht="25.5">
      <c r="A292" s="8" t="s">
        <v>80</v>
      </c>
      <c r="B292" s="1" t="s">
        <v>433</v>
      </c>
      <c r="C292" s="1" t="s">
        <v>81</v>
      </c>
      <c r="D292" s="9">
        <f>D293+D294</f>
        <v>5994</v>
      </c>
      <c r="E292" s="9">
        <f>E293+E294</f>
        <v>5994</v>
      </c>
      <c r="F292" s="9">
        <f t="shared" ref="F292:G292" si="152">F293+F294</f>
        <v>4921.66</v>
      </c>
      <c r="G292" s="9">
        <f t="shared" si="152"/>
        <v>4921.66</v>
      </c>
      <c r="H292" s="9">
        <f>H293+H294</f>
        <v>4721.66</v>
      </c>
      <c r="I292" s="9">
        <f t="shared" si="125"/>
        <v>78.773106439773102</v>
      </c>
      <c r="J292" s="9">
        <f t="shared" si="126"/>
        <v>95.936330425100465</v>
      </c>
    </row>
    <row r="293" spans="1:10">
      <c r="A293" s="8" t="s">
        <v>271</v>
      </c>
      <c r="B293" s="1" t="s">
        <v>433</v>
      </c>
      <c r="C293" s="1" t="s">
        <v>272</v>
      </c>
      <c r="D293" s="9">
        <f>ведомство!G1129</f>
        <v>2494</v>
      </c>
      <c r="E293" s="9">
        <f>ведомство!H1129</f>
        <v>3094</v>
      </c>
      <c r="F293" s="9">
        <f>ведомство!I1129</f>
        <v>2668.55</v>
      </c>
      <c r="G293" s="9">
        <f>ведомство!J1129</f>
        <v>2668.55</v>
      </c>
      <c r="H293" s="9">
        <f>ведомство!K1129</f>
        <v>2668.55</v>
      </c>
      <c r="I293" s="9">
        <f t="shared" si="125"/>
        <v>86.249191984486103</v>
      </c>
      <c r="J293" s="9">
        <f t="shared" si="126"/>
        <v>100</v>
      </c>
    </row>
    <row r="294" spans="1:10">
      <c r="A294" s="8" t="s">
        <v>82</v>
      </c>
      <c r="B294" s="1" t="s">
        <v>433</v>
      </c>
      <c r="C294" s="1" t="s">
        <v>83</v>
      </c>
      <c r="D294" s="9">
        <f>ведомство!G1130</f>
        <v>3500</v>
      </c>
      <c r="E294" s="9">
        <f>ведомство!H1130</f>
        <v>2900</v>
      </c>
      <c r="F294" s="9">
        <f>ведомство!I1130</f>
        <v>2253.11</v>
      </c>
      <c r="G294" s="9">
        <f>ведомство!J1130</f>
        <v>2253.11</v>
      </c>
      <c r="H294" s="9">
        <f>ведомство!K1130</f>
        <v>2053.11</v>
      </c>
      <c r="I294" s="9">
        <f t="shared" si="125"/>
        <v>70.796896551724146</v>
      </c>
      <c r="J294" s="9">
        <f t="shared" si="126"/>
        <v>91.123380571743056</v>
      </c>
    </row>
    <row r="295" spans="1:10" s="91" customFormat="1" ht="25.5">
      <c r="A295" s="62" t="s">
        <v>1116</v>
      </c>
      <c r="B295" s="29" t="s">
        <v>1264</v>
      </c>
      <c r="C295" s="28"/>
      <c r="D295" s="9">
        <v>0</v>
      </c>
      <c r="E295" s="22">
        <f>E296</f>
        <v>1004.2</v>
      </c>
      <c r="F295" s="22">
        <f t="shared" ref="F295:G296" si="153">F296</f>
        <v>1004.2</v>
      </c>
      <c r="G295" s="22">
        <f t="shared" si="153"/>
        <v>1004.2</v>
      </c>
      <c r="H295" s="22">
        <f>H296</f>
        <v>1004.2</v>
      </c>
      <c r="I295" s="9">
        <f t="shared" ref="I295:I297" si="154">H295/E295*100</f>
        <v>100</v>
      </c>
      <c r="J295" s="9">
        <f t="shared" ref="J295:J297" si="155">H295/F295*100</f>
        <v>100</v>
      </c>
    </row>
    <row r="296" spans="1:10" s="91" customFormat="1" ht="25.5">
      <c r="A296" s="59" t="s">
        <v>80</v>
      </c>
      <c r="B296" s="29" t="s">
        <v>1264</v>
      </c>
      <c r="C296" s="28">
        <v>600</v>
      </c>
      <c r="D296" s="9">
        <v>0</v>
      </c>
      <c r="E296" s="9">
        <f>E297</f>
        <v>1004.2</v>
      </c>
      <c r="F296" s="9">
        <f t="shared" si="153"/>
        <v>1004.2</v>
      </c>
      <c r="G296" s="9">
        <f t="shared" si="153"/>
        <v>1004.2</v>
      </c>
      <c r="H296" s="9">
        <f>H297</f>
        <v>1004.2</v>
      </c>
      <c r="I296" s="9">
        <f t="shared" si="154"/>
        <v>100</v>
      </c>
      <c r="J296" s="9">
        <f t="shared" si="155"/>
        <v>100</v>
      </c>
    </row>
    <row r="297" spans="1:10" s="91" customFormat="1">
      <c r="A297" s="59" t="s">
        <v>82</v>
      </c>
      <c r="B297" s="29" t="s">
        <v>1264</v>
      </c>
      <c r="C297" s="28">
        <v>620</v>
      </c>
      <c r="D297" s="9">
        <v>0</v>
      </c>
      <c r="E297" s="9">
        <f>ведомство!H1036</f>
        <v>1004.2</v>
      </c>
      <c r="F297" s="9">
        <f>ведомство!I1036</f>
        <v>1004.2</v>
      </c>
      <c r="G297" s="9">
        <f>ведомство!J1036</f>
        <v>1004.2</v>
      </c>
      <c r="H297" s="9">
        <f>ведомство!K1036</f>
        <v>1004.2</v>
      </c>
      <c r="I297" s="9">
        <f t="shared" si="154"/>
        <v>100</v>
      </c>
      <c r="J297" s="9">
        <f t="shared" si="155"/>
        <v>100</v>
      </c>
    </row>
    <row r="298" spans="1:10">
      <c r="A298" s="4" t="s">
        <v>0</v>
      </c>
      <c r="B298" s="17" t="s">
        <v>0</v>
      </c>
      <c r="C298" s="5" t="s">
        <v>0</v>
      </c>
      <c r="D298" s="7" t="s">
        <v>0</v>
      </c>
      <c r="E298" s="7" t="s">
        <v>0</v>
      </c>
      <c r="F298" s="7" t="s">
        <v>0</v>
      </c>
      <c r="G298" s="7" t="s">
        <v>0</v>
      </c>
      <c r="H298" s="7" t="s">
        <v>0</v>
      </c>
      <c r="I298" s="7"/>
      <c r="J298" s="7"/>
    </row>
    <row r="299" spans="1:10" ht="25.5">
      <c r="A299" s="34" t="s">
        <v>412</v>
      </c>
      <c r="B299" s="5" t="s">
        <v>413</v>
      </c>
      <c r="C299" s="5" t="s">
        <v>0</v>
      </c>
      <c r="D299" s="7">
        <f>D300+D303+D308+D318+D321+D329+D332+D335</f>
        <v>582749.4</v>
      </c>
      <c r="E299" s="7">
        <f t="shared" ref="E299" si="156">E300+E303+E308+E318+E321+E329+E332+E335</f>
        <v>586349.4453599999</v>
      </c>
      <c r="F299" s="7">
        <f t="shared" ref="F299:H299" si="157">F300+F303+F308+F318+F321+F329+F332+F335</f>
        <v>448468.73951000004</v>
      </c>
      <c r="G299" s="7">
        <f t="shared" si="157"/>
        <v>448468.73951000004</v>
      </c>
      <c r="H299" s="7">
        <f t="shared" si="157"/>
        <v>448026.93076999998</v>
      </c>
      <c r="I299" s="7">
        <f t="shared" si="125"/>
        <v>76.409542861411879</v>
      </c>
      <c r="J299" s="7">
        <f t="shared" si="126"/>
        <v>99.901485053231852</v>
      </c>
    </row>
    <row r="300" spans="1:10">
      <c r="A300" s="8" t="s">
        <v>1137</v>
      </c>
      <c r="B300" s="24" t="s">
        <v>1136</v>
      </c>
      <c r="C300" s="1"/>
      <c r="D300" s="22">
        <f>D301</f>
        <v>0</v>
      </c>
      <c r="E300" s="22">
        <f>E301</f>
        <v>1600</v>
      </c>
      <c r="F300" s="22">
        <f t="shared" ref="F300:G301" si="158">F301</f>
        <v>1600</v>
      </c>
      <c r="G300" s="22">
        <f t="shared" si="158"/>
        <v>1600</v>
      </c>
      <c r="H300" s="22">
        <f>H301</f>
        <v>1600</v>
      </c>
      <c r="I300" s="22">
        <f t="shared" si="125"/>
        <v>100</v>
      </c>
      <c r="J300" s="9">
        <f t="shared" si="126"/>
        <v>100</v>
      </c>
    </row>
    <row r="301" spans="1:10">
      <c r="A301" s="25" t="s">
        <v>68</v>
      </c>
      <c r="B301" s="24" t="s">
        <v>1136</v>
      </c>
      <c r="C301" s="1">
        <v>300</v>
      </c>
      <c r="D301" s="22">
        <f>D302</f>
        <v>0</v>
      </c>
      <c r="E301" s="22">
        <f>E302</f>
        <v>1600</v>
      </c>
      <c r="F301" s="22">
        <f t="shared" si="158"/>
        <v>1600</v>
      </c>
      <c r="G301" s="22">
        <f t="shared" si="158"/>
        <v>1600</v>
      </c>
      <c r="H301" s="22">
        <f>H302</f>
        <v>1600</v>
      </c>
      <c r="I301" s="22">
        <f t="shared" si="125"/>
        <v>100</v>
      </c>
      <c r="J301" s="9">
        <f t="shared" si="126"/>
        <v>100</v>
      </c>
    </row>
    <row r="302" spans="1:10">
      <c r="A302" s="25" t="s">
        <v>373</v>
      </c>
      <c r="B302" s="24" t="s">
        <v>1136</v>
      </c>
      <c r="C302" s="1">
        <v>350</v>
      </c>
      <c r="D302" s="22">
        <f>ведомство!G998</f>
        <v>0</v>
      </c>
      <c r="E302" s="22">
        <f>ведомство!H998</f>
        <v>1600</v>
      </c>
      <c r="F302" s="22">
        <f>ведомство!I998</f>
        <v>1600</v>
      </c>
      <c r="G302" s="22">
        <f>ведомство!J998</f>
        <v>1600</v>
      </c>
      <c r="H302" s="22">
        <f>ведомство!K998</f>
        <v>1600</v>
      </c>
      <c r="I302" s="22">
        <f t="shared" si="125"/>
        <v>100</v>
      </c>
      <c r="J302" s="9">
        <f t="shared" si="126"/>
        <v>100</v>
      </c>
    </row>
    <row r="303" spans="1:10" ht="63.75">
      <c r="A303" s="8" t="s">
        <v>434</v>
      </c>
      <c r="B303" s="1" t="s">
        <v>435</v>
      </c>
      <c r="C303" s="1" t="s">
        <v>0</v>
      </c>
      <c r="D303" s="9">
        <f>D304+D306</f>
        <v>8213.1</v>
      </c>
      <c r="E303" s="9">
        <f>E304+E306</f>
        <v>8213.1</v>
      </c>
      <c r="F303" s="9">
        <f t="shared" ref="F303:G303" si="159">F304+F306</f>
        <v>4876.5435099999995</v>
      </c>
      <c r="G303" s="9">
        <f t="shared" si="159"/>
        <v>4876.5435099999995</v>
      </c>
      <c r="H303" s="9">
        <f>H304+H306</f>
        <v>4876.5431099999996</v>
      </c>
      <c r="I303" s="9">
        <f t="shared" si="125"/>
        <v>59.375182452423559</v>
      </c>
      <c r="J303" s="9">
        <f t="shared" si="126"/>
        <v>99.999991797468851</v>
      </c>
    </row>
    <row r="304" spans="1:10" ht="51">
      <c r="A304" s="8" t="s">
        <v>60</v>
      </c>
      <c r="B304" s="1" t="s">
        <v>435</v>
      </c>
      <c r="C304" s="1" t="s">
        <v>61</v>
      </c>
      <c r="D304" s="9">
        <f>D305</f>
        <v>7150.4</v>
      </c>
      <c r="E304" s="9">
        <f>E305</f>
        <v>7150.4</v>
      </c>
      <c r="F304" s="9">
        <f t="shared" ref="F304:G304" si="160">F305</f>
        <v>4372.7177099999999</v>
      </c>
      <c r="G304" s="9">
        <f t="shared" si="160"/>
        <v>4372.7177099999999</v>
      </c>
      <c r="H304" s="9">
        <f>H305</f>
        <v>4372.7177099999999</v>
      </c>
      <c r="I304" s="9">
        <f t="shared" si="125"/>
        <v>61.153469875811147</v>
      </c>
      <c r="J304" s="9">
        <f t="shared" si="126"/>
        <v>100</v>
      </c>
    </row>
    <row r="305" spans="1:10" ht="25.5">
      <c r="A305" s="8" t="s">
        <v>62</v>
      </c>
      <c r="B305" s="1" t="s">
        <v>435</v>
      </c>
      <c r="C305" s="1" t="s">
        <v>63</v>
      </c>
      <c r="D305" s="9">
        <f>ведомство!G1134</f>
        <v>7150.4</v>
      </c>
      <c r="E305" s="9">
        <f>ведомство!H1134</f>
        <v>7150.4</v>
      </c>
      <c r="F305" s="9">
        <f>ведомство!I1134</f>
        <v>4372.7177099999999</v>
      </c>
      <c r="G305" s="9">
        <f>ведомство!J1134</f>
        <v>4372.7177099999999</v>
      </c>
      <c r="H305" s="9">
        <f>ведомство!K1134</f>
        <v>4372.7177099999999</v>
      </c>
      <c r="I305" s="9">
        <f t="shared" si="125"/>
        <v>61.153469875811147</v>
      </c>
      <c r="J305" s="9">
        <f t="shared" si="126"/>
        <v>100</v>
      </c>
    </row>
    <row r="306" spans="1:10" ht="25.5">
      <c r="A306" s="8" t="s">
        <v>64</v>
      </c>
      <c r="B306" s="1" t="s">
        <v>435</v>
      </c>
      <c r="C306" s="1" t="s">
        <v>65</v>
      </c>
      <c r="D306" s="9">
        <f>D307</f>
        <v>1062.7</v>
      </c>
      <c r="E306" s="9">
        <f>E307</f>
        <v>1062.7</v>
      </c>
      <c r="F306" s="9">
        <f t="shared" ref="F306:G306" si="161">F307</f>
        <v>503.82580000000002</v>
      </c>
      <c r="G306" s="9">
        <f t="shared" si="161"/>
        <v>503.82580000000002</v>
      </c>
      <c r="H306" s="9">
        <f>H307</f>
        <v>503.8254</v>
      </c>
      <c r="I306" s="9">
        <f t="shared" si="125"/>
        <v>47.409936953044131</v>
      </c>
      <c r="J306" s="9">
        <f t="shared" si="126"/>
        <v>99.999920607479808</v>
      </c>
    </row>
    <row r="307" spans="1:10" ht="25.5">
      <c r="A307" s="8" t="s">
        <v>66</v>
      </c>
      <c r="B307" s="1" t="s">
        <v>435</v>
      </c>
      <c r="C307" s="1" t="s">
        <v>67</v>
      </c>
      <c r="D307" s="9">
        <f>ведомство!G1136</f>
        <v>1062.7</v>
      </c>
      <c r="E307" s="9">
        <f>ведомство!H1136</f>
        <v>1062.7</v>
      </c>
      <c r="F307" s="9">
        <f>ведомство!I1136</f>
        <v>503.82580000000002</v>
      </c>
      <c r="G307" s="9">
        <f>ведомство!J1136</f>
        <v>503.82580000000002</v>
      </c>
      <c r="H307" s="9">
        <f>ведомство!K1136</f>
        <v>503.8254</v>
      </c>
      <c r="I307" s="9">
        <f t="shared" si="125"/>
        <v>47.409936953044131</v>
      </c>
      <c r="J307" s="9">
        <f t="shared" si="126"/>
        <v>99.999920607479808</v>
      </c>
    </row>
    <row r="308" spans="1:10" ht="25.5">
      <c r="A308" s="8" t="s">
        <v>58</v>
      </c>
      <c r="B308" s="1" t="s">
        <v>436</v>
      </c>
      <c r="C308" s="1" t="s">
        <v>0</v>
      </c>
      <c r="D308" s="9">
        <f>D309+D311+D313+D315</f>
        <v>53769.9</v>
      </c>
      <c r="E308" s="9">
        <f>E309+E311+E313+E315</f>
        <v>53769.9</v>
      </c>
      <c r="F308" s="9">
        <f t="shared" ref="F308:G308" si="162">F309+F311+F313+F315</f>
        <v>37240.050000000003</v>
      </c>
      <c r="G308" s="9">
        <f t="shared" si="162"/>
        <v>37240.050000000003</v>
      </c>
      <c r="H308" s="9">
        <f>H309+H311+H313+H315</f>
        <v>37197.121579999999</v>
      </c>
      <c r="I308" s="9">
        <f t="shared" si="125"/>
        <v>69.178335053626654</v>
      </c>
      <c r="J308" s="9">
        <f t="shared" si="126"/>
        <v>99.884725127920063</v>
      </c>
    </row>
    <row r="309" spans="1:10" ht="51">
      <c r="A309" s="8" t="s">
        <v>60</v>
      </c>
      <c r="B309" s="1" t="s">
        <v>436</v>
      </c>
      <c r="C309" s="1" t="s">
        <v>61</v>
      </c>
      <c r="D309" s="9">
        <f>D310</f>
        <v>51663.9</v>
      </c>
      <c r="E309" s="9">
        <f>E310</f>
        <v>51663.6</v>
      </c>
      <c r="F309" s="9">
        <f t="shared" ref="F309:G309" si="163">F310</f>
        <v>35807.800000000003</v>
      </c>
      <c r="G309" s="9">
        <f t="shared" si="163"/>
        <v>35807.800000000003</v>
      </c>
      <c r="H309" s="9">
        <f>H310</f>
        <v>35805.95564</v>
      </c>
      <c r="I309" s="9">
        <f t="shared" si="125"/>
        <v>69.305963270077967</v>
      </c>
      <c r="J309" s="9">
        <f t="shared" si="126"/>
        <v>99.994849278648772</v>
      </c>
    </row>
    <row r="310" spans="1:10" ht="25.5">
      <c r="A310" s="8" t="s">
        <v>62</v>
      </c>
      <c r="B310" s="1" t="s">
        <v>436</v>
      </c>
      <c r="C310" s="1" t="s">
        <v>63</v>
      </c>
      <c r="D310" s="9">
        <f>ведомство!G1139</f>
        <v>51663.9</v>
      </c>
      <c r="E310" s="9">
        <f>ведомство!H1139</f>
        <v>51663.6</v>
      </c>
      <c r="F310" s="9">
        <f>ведомство!I1139</f>
        <v>35807.800000000003</v>
      </c>
      <c r="G310" s="9">
        <f>ведомство!J1139</f>
        <v>35807.800000000003</v>
      </c>
      <c r="H310" s="9">
        <f>ведомство!K1139</f>
        <v>35805.95564</v>
      </c>
      <c r="I310" s="9">
        <f t="shared" si="125"/>
        <v>69.305963270077967</v>
      </c>
      <c r="J310" s="9">
        <f t="shared" si="126"/>
        <v>99.994849278648772</v>
      </c>
    </row>
    <row r="311" spans="1:10" ht="25.5">
      <c r="A311" s="8" t="s">
        <v>64</v>
      </c>
      <c r="B311" s="1" t="s">
        <v>436</v>
      </c>
      <c r="C311" s="1" t="s">
        <v>65</v>
      </c>
      <c r="D311" s="9">
        <f>D312</f>
        <v>2045</v>
      </c>
      <c r="E311" s="9">
        <f>E312</f>
        <v>2045</v>
      </c>
      <c r="F311" s="9">
        <f t="shared" ref="F311:G311" si="164">F312</f>
        <v>1371</v>
      </c>
      <c r="G311" s="9">
        <f t="shared" si="164"/>
        <v>1371</v>
      </c>
      <c r="H311" s="9">
        <f>H312</f>
        <v>1330.19794</v>
      </c>
      <c r="I311" s="9">
        <f t="shared" si="125"/>
        <v>65.046354034229822</v>
      </c>
      <c r="J311" s="9">
        <f t="shared" si="126"/>
        <v>97.023919766593721</v>
      </c>
    </row>
    <row r="312" spans="1:10" ht="25.5">
      <c r="A312" s="8" t="s">
        <v>66</v>
      </c>
      <c r="B312" s="1" t="s">
        <v>436</v>
      </c>
      <c r="C312" s="1" t="s">
        <v>67</v>
      </c>
      <c r="D312" s="9">
        <f>ведомство!G1141</f>
        <v>2045</v>
      </c>
      <c r="E312" s="9">
        <f>ведомство!H1141</f>
        <v>2045</v>
      </c>
      <c r="F312" s="9">
        <f>ведомство!I1141</f>
        <v>1371</v>
      </c>
      <c r="G312" s="9">
        <f>ведомство!J1141</f>
        <v>1371</v>
      </c>
      <c r="H312" s="9">
        <f>ведомство!K1141</f>
        <v>1330.19794</v>
      </c>
      <c r="I312" s="9">
        <f t="shared" si="125"/>
        <v>65.046354034229822</v>
      </c>
      <c r="J312" s="9">
        <f t="shared" si="126"/>
        <v>97.023919766593721</v>
      </c>
    </row>
    <row r="313" spans="1:10">
      <c r="A313" s="8" t="s">
        <v>68</v>
      </c>
      <c r="B313" s="1" t="s">
        <v>436</v>
      </c>
      <c r="C313" s="1" t="s">
        <v>69</v>
      </c>
      <c r="D313" s="9">
        <f>D314</f>
        <v>60</v>
      </c>
      <c r="E313" s="9">
        <f>E314</f>
        <v>60</v>
      </c>
      <c r="F313" s="9">
        <f t="shared" ref="F313:G313" si="165">F314</f>
        <v>60</v>
      </c>
      <c r="G313" s="9">
        <f t="shared" si="165"/>
        <v>60</v>
      </c>
      <c r="H313" s="9">
        <f>H314</f>
        <v>60</v>
      </c>
      <c r="I313" s="9">
        <f t="shared" si="125"/>
        <v>100</v>
      </c>
      <c r="J313" s="9">
        <f t="shared" si="126"/>
        <v>100</v>
      </c>
    </row>
    <row r="314" spans="1:10">
      <c r="A314" s="8" t="s">
        <v>70</v>
      </c>
      <c r="B314" s="1" t="s">
        <v>436</v>
      </c>
      <c r="C314" s="1" t="s">
        <v>71</v>
      </c>
      <c r="D314" s="9">
        <f>ведомство!G1143</f>
        <v>60</v>
      </c>
      <c r="E314" s="9">
        <f>ведомство!H1143</f>
        <v>60</v>
      </c>
      <c r="F314" s="9">
        <f>ведомство!I1143</f>
        <v>60</v>
      </c>
      <c r="G314" s="9">
        <f>ведомство!J1143</f>
        <v>60</v>
      </c>
      <c r="H314" s="9">
        <f>ведомство!K1143</f>
        <v>60</v>
      </c>
      <c r="I314" s="9">
        <f t="shared" si="125"/>
        <v>100</v>
      </c>
      <c r="J314" s="9">
        <f t="shared" si="126"/>
        <v>100</v>
      </c>
    </row>
    <row r="315" spans="1:10">
      <c r="A315" s="8" t="s">
        <v>72</v>
      </c>
      <c r="B315" s="1" t="s">
        <v>436</v>
      </c>
      <c r="C315" s="1" t="s">
        <v>73</v>
      </c>
      <c r="D315" s="9">
        <f>D316+D317</f>
        <v>1</v>
      </c>
      <c r="E315" s="9">
        <f>E316+E317</f>
        <v>1.3</v>
      </c>
      <c r="F315" s="9">
        <f t="shared" ref="F315:G315" si="166">F316+F317</f>
        <v>1.25</v>
      </c>
      <c r="G315" s="9">
        <f t="shared" si="166"/>
        <v>1.25</v>
      </c>
      <c r="H315" s="9">
        <f>H316+H317</f>
        <v>0.96799999999999997</v>
      </c>
      <c r="I315" s="9">
        <f t="shared" si="125"/>
        <v>74.461538461538453</v>
      </c>
      <c r="J315" s="9">
        <f t="shared" si="126"/>
        <v>77.44</v>
      </c>
    </row>
    <row r="316" spans="1:10">
      <c r="A316" s="8" t="s">
        <v>84</v>
      </c>
      <c r="B316" s="1" t="s">
        <v>436</v>
      </c>
      <c r="C316" s="1">
        <v>830</v>
      </c>
      <c r="D316" s="9">
        <f>ведомство!G1145</f>
        <v>0</v>
      </c>
      <c r="E316" s="9">
        <f>ведомство!H1145</f>
        <v>0.3</v>
      </c>
      <c r="F316" s="9">
        <f>ведомство!I1145</f>
        <v>0.3</v>
      </c>
      <c r="G316" s="9">
        <f>ведомство!J1145</f>
        <v>0.3</v>
      </c>
      <c r="H316" s="9">
        <f>ведомство!K1145</f>
        <v>0.3</v>
      </c>
      <c r="I316" s="9">
        <f t="shared" si="125"/>
        <v>100</v>
      </c>
      <c r="J316" s="9">
        <f t="shared" si="126"/>
        <v>100</v>
      </c>
    </row>
    <row r="317" spans="1:10">
      <c r="A317" s="8" t="s">
        <v>74</v>
      </c>
      <c r="B317" s="1" t="s">
        <v>436</v>
      </c>
      <c r="C317" s="1" t="s">
        <v>75</v>
      </c>
      <c r="D317" s="9">
        <f>ведомство!G1146</f>
        <v>1</v>
      </c>
      <c r="E317" s="9">
        <f>ведомство!H1146</f>
        <v>1</v>
      </c>
      <c r="F317" s="9">
        <f>ведомство!I1146</f>
        <v>0.95</v>
      </c>
      <c r="G317" s="9">
        <f>ведомство!J1146</f>
        <v>0.95</v>
      </c>
      <c r="H317" s="9">
        <f>ведомство!K1146</f>
        <v>0.66800000000000004</v>
      </c>
      <c r="I317" s="9">
        <f t="shared" si="125"/>
        <v>66.8</v>
      </c>
      <c r="J317" s="9">
        <f t="shared" si="126"/>
        <v>70.31578947368422</v>
      </c>
    </row>
    <row r="318" spans="1:10" ht="25.5">
      <c r="A318" s="8" t="s">
        <v>76</v>
      </c>
      <c r="B318" s="1" t="s">
        <v>414</v>
      </c>
      <c r="C318" s="1" t="s">
        <v>0</v>
      </c>
      <c r="D318" s="9">
        <f>D319</f>
        <v>91555.6</v>
      </c>
      <c r="E318" s="9">
        <f>E319</f>
        <v>93555.616639999993</v>
      </c>
      <c r="F318" s="9">
        <f t="shared" ref="F318:G319" si="167">F319</f>
        <v>69755.72064</v>
      </c>
      <c r="G318" s="9">
        <f t="shared" si="167"/>
        <v>69755.72064</v>
      </c>
      <c r="H318" s="9">
        <f>H319</f>
        <v>69755.72064</v>
      </c>
      <c r="I318" s="9">
        <f t="shared" si="125"/>
        <v>74.560697845024649</v>
      </c>
      <c r="J318" s="9">
        <f t="shared" si="126"/>
        <v>100</v>
      </c>
    </row>
    <row r="319" spans="1:10" ht="25.5">
      <c r="A319" s="8" t="s">
        <v>80</v>
      </c>
      <c r="B319" s="1" t="s">
        <v>414</v>
      </c>
      <c r="C319" s="1" t="s">
        <v>81</v>
      </c>
      <c r="D319" s="9">
        <f>D320</f>
        <v>91555.6</v>
      </c>
      <c r="E319" s="9">
        <f>E320</f>
        <v>93555.616639999993</v>
      </c>
      <c r="F319" s="9">
        <f t="shared" si="167"/>
        <v>69755.72064</v>
      </c>
      <c r="G319" s="9">
        <f t="shared" si="167"/>
        <v>69755.72064</v>
      </c>
      <c r="H319" s="9">
        <f>H320</f>
        <v>69755.72064</v>
      </c>
      <c r="I319" s="9">
        <f t="shared" si="125"/>
        <v>74.560697845024649</v>
      </c>
      <c r="J319" s="9">
        <f t="shared" si="126"/>
        <v>100</v>
      </c>
    </row>
    <row r="320" spans="1:10">
      <c r="A320" s="8" t="s">
        <v>82</v>
      </c>
      <c r="B320" s="1" t="s">
        <v>414</v>
      </c>
      <c r="C320" s="1" t="s">
        <v>83</v>
      </c>
      <c r="D320" s="9">
        <f>ведомство!G1047</f>
        <v>91555.6</v>
      </c>
      <c r="E320" s="9">
        <f>ведомство!H1047</f>
        <v>93555.616639999993</v>
      </c>
      <c r="F320" s="9">
        <f>ведомство!I1047</f>
        <v>69755.72064</v>
      </c>
      <c r="G320" s="9">
        <f>ведомство!J1047</f>
        <v>69755.72064</v>
      </c>
      <c r="H320" s="9">
        <f>ведомство!K1047</f>
        <v>69755.72064</v>
      </c>
      <c r="I320" s="9">
        <f t="shared" ref="I320:I402" si="168">H320/E320*100</f>
        <v>74.560697845024649</v>
      </c>
      <c r="J320" s="9">
        <f t="shared" ref="J320:J402" si="169">H320/F320*100</f>
        <v>100</v>
      </c>
    </row>
    <row r="321" spans="1:10">
      <c r="A321" s="8" t="s">
        <v>424</v>
      </c>
      <c r="B321" s="1" t="s">
        <v>437</v>
      </c>
      <c r="C321" s="1" t="s">
        <v>0</v>
      </c>
      <c r="D321" s="9">
        <f>D322+D324+D327</f>
        <v>15314</v>
      </c>
      <c r="E321" s="9">
        <f>E322+E324+E327</f>
        <v>13514</v>
      </c>
      <c r="F321" s="9">
        <f t="shared" ref="F321:G321" si="170">F322+F324+F327</f>
        <v>4144.3</v>
      </c>
      <c r="G321" s="9">
        <f t="shared" si="170"/>
        <v>4144.3</v>
      </c>
      <c r="H321" s="9">
        <f>H322+H324+H327</f>
        <v>3745.4200799999999</v>
      </c>
      <c r="I321" s="9">
        <f t="shared" si="168"/>
        <v>27.715110848009473</v>
      </c>
      <c r="J321" s="9">
        <f t="shared" si="169"/>
        <v>90.375216079916981</v>
      </c>
    </row>
    <row r="322" spans="1:10" ht="25.5">
      <c r="A322" s="8" t="s">
        <v>64</v>
      </c>
      <c r="B322" s="1" t="s">
        <v>437</v>
      </c>
      <c r="C322" s="1" t="s">
        <v>65</v>
      </c>
      <c r="D322" s="9">
        <f>D323</f>
        <v>2364</v>
      </c>
      <c r="E322" s="9">
        <f>E323</f>
        <v>2364</v>
      </c>
      <c r="F322" s="9">
        <f t="shared" ref="F322:G322" si="171">F323</f>
        <v>2364</v>
      </c>
      <c r="G322" s="9">
        <f t="shared" si="171"/>
        <v>2364</v>
      </c>
      <c r="H322" s="9">
        <f>H323</f>
        <v>1965.1200799999999</v>
      </c>
      <c r="I322" s="9">
        <f t="shared" si="168"/>
        <v>83.126906937394239</v>
      </c>
      <c r="J322" s="9">
        <f t="shared" si="169"/>
        <v>83.126906937394239</v>
      </c>
    </row>
    <row r="323" spans="1:10" ht="25.5">
      <c r="A323" s="8" t="s">
        <v>66</v>
      </c>
      <c r="B323" s="1" t="s">
        <v>437</v>
      </c>
      <c r="C323" s="1" t="s">
        <v>67</v>
      </c>
      <c r="D323" s="9">
        <f>ведомство!G1149</f>
        <v>2364</v>
      </c>
      <c r="E323" s="9">
        <f>ведомство!H1149</f>
        <v>2364</v>
      </c>
      <c r="F323" s="9">
        <f>ведомство!I1149</f>
        <v>2364</v>
      </c>
      <c r="G323" s="9">
        <f>ведомство!J1149</f>
        <v>2364</v>
      </c>
      <c r="H323" s="9">
        <f>ведомство!K1149</f>
        <v>1965.1200799999999</v>
      </c>
      <c r="I323" s="9">
        <f t="shared" si="168"/>
        <v>83.126906937394239</v>
      </c>
      <c r="J323" s="9">
        <f t="shared" si="169"/>
        <v>83.126906937394239</v>
      </c>
    </row>
    <row r="324" spans="1:10">
      <c r="A324" s="8" t="s">
        <v>68</v>
      </c>
      <c r="B324" s="1" t="s">
        <v>437</v>
      </c>
      <c r="C324" s="1" t="s">
        <v>69</v>
      </c>
      <c r="D324" s="9">
        <f>D325+D326</f>
        <v>11250</v>
      </c>
      <c r="E324" s="9">
        <f>E325+E326</f>
        <v>9450</v>
      </c>
      <c r="F324" s="9">
        <f t="shared" ref="F324:G324" si="172">F325+F326</f>
        <v>450</v>
      </c>
      <c r="G324" s="9">
        <f t="shared" si="172"/>
        <v>450</v>
      </c>
      <c r="H324" s="9">
        <f>H325+H326</f>
        <v>450</v>
      </c>
      <c r="I324" s="9">
        <f t="shared" si="168"/>
        <v>4.7619047619047619</v>
      </c>
      <c r="J324" s="9">
        <f t="shared" si="169"/>
        <v>100</v>
      </c>
    </row>
    <row r="325" spans="1:10">
      <c r="A325" s="8" t="s">
        <v>373</v>
      </c>
      <c r="B325" s="1" t="s">
        <v>437</v>
      </c>
      <c r="C325" s="1" t="s">
        <v>374</v>
      </c>
      <c r="D325" s="9">
        <f>ведомство!G1151</f>
        <v>2250</v>
      </c>
      <c r="E325" s="9">
        <f>ведомство!H1151</f>
        <v>450</v>
      </c>
      <c r="F325" s="9">
        <f>ведомство!I1151</f>
        <v>450</v>
      </c>
      <c r="G325" s="9">
        <f>ведомство!J1151</f>
        <v>450</v>
      </c>
      <c r="H325" s="9">
        <f>ведомство!K1151</f>
        <v>450</v>
      </c>
      <c r="I325" s="9">
        <f t="shared" si="168"/>
        <v>100</v>
      </c>
      <c r="J325" s="9">
        <f t="shared" si="169"/>
        <v>100</v>
      </c>
    </row>
    <row r="326" spans="1:10">
      <c r="A326" s="8" t="s">
        <v>70</v>
      </c>
      <c r="B326" s="1" t="s">
        <v>437</v>
      </c>
      <c r="C326" s="1" t="s">
        <v>71</v>
      </c>
      <c r="D326" s="9">
        <f>ведомство!G1152</f>
        <v>9000</v>
      </c>
      <c r="E326" s="9">
        <f>ведомство!H1152</f>
        <v>9000</v>
      </c>
      <c r="F326" s="9">
        <f>ведомство!I1152</f>
        <v>0</v>
      </c>
      <c r="G326" s="9">
        <f>ведомство!J1152</f>
        <v>0</v>
      </c>
      <c r="H326" s="9">
        <f>ведомство!K1152</f>
        <v>0</v>
      </c>
      <c r="I326" s="9">
        <f t="shared" si="168"/>
        <v>0</v>
      </c>
      <c r="J326" s="9">
        <v>0</v>
      </c>
    </row>
    <row r="327" spans="1:10" ht="25.5">
      <c r="A327" s="8" t="s">
        <v>80</v>
      </c>
      <c r="B327" s="1" t="s">
        <v>437</v>
      </c>
      <c r="C327" s="1" t="s">
        <v>81</v>
      </c>
      <c r="D327" s="9">
        <f>D328</f>
        <v>1700</v>
      </c>
      <c r="E327" s="9">
        <f>E328</f>
        <v>1700</v>
      </c>
      <c r="F327" s="9">
        <f t="shared" ref="F327:G327" si="173">F328</f>
        <v>1330.3</v>
      </c>
      <c r="G327" s="9">
        <f t="shared" si="173"/>
        <v>1330.3</v>
      </c>
      <c r="H327" s="9">
        <f>H328</f>
        <v>1330.3</v>
      </c>
      <c r="I327" s="9">
        <f t="shared" si="168"/>
        <v>78.252941176470586</v>
      </c>
      <c r="J327" s="9">
        <f t="shared" si="169"/>
        <v>100</v>
      </c>
    </row>
    <row r="328" spans="1:10">
      <c r="A328" s="8" t="s">
        <v>82</v>
      </c>
      <c r="B328" s="1" t="s">
        <v>437</v>
      </c>
      <c r="C328" s="1" t="s">
        <v>83</v>
      </c>
      <c r="D328" s="9">
        <f>ведомство!G1154</f>
        <v>1700</v>
      </c>
      <c r="E328" s="9">
        <f>ведомство!H1154</f>
        <v>1700</v>
      </c>
      <c r="F328" s="9">
        <f>ведомство!I1154</f>
        <v>1330.3</v>
      </c>
      <c r="G328" s="9">
        <f>ведомство!J1154</f>
        <v>1330.3</v>
      </c>
      <c r="H328" s="9">
        <f>ведомство!K1154</f>
        <v>1330.3</v>
      </c>
      <c r="I328" s="9">
        <f t="shared" si="168"/>
        <v>78.252941176470586</v>
      </c>
      <c r="J328" s="9">
        <f t="shared" si="169"/>
        <v>100</v>
      </c>
    </row>
    <row r="329" spans="1:10" ht="63.75">
      <c r="A329" s="8" t="s">
        <v>438</v>
      </c>
      <c r="B329" s="1" t="s">
        <v>439</v>
      </c>
      <c r="C329" s="1" t="s">
        <v>0</v>
      </c>
      <c r="D329" s="9">
        <f>D330</f>
        <v>412073.8</v>
      </c>
      <c r="E329" s="9">
        <f>E330</f>
        <v>412073.84535999998</v>
      </c>
      <c r="F329" s="9">
        <f t="shared" ref="F329:G330" si="174">F330</f>
        <v>327405.446</v>
      </c>
      <c r="G329" s="9">
        <f t="shared" si="174"/>
        <v>327405.446</v>
      </c>
      <c r="H329" s="9">
        <f>H330</f>
        <v>327405.446</v>
      </c>
      <c r="I329" s="9">
        <f t="shared" si="168"/>
        <v>79.453100381551479</v>
      </c>
      <c r="J329" s="9">
        <f t="shared" si="169"/>
        <v>100</v>
      </c>
    </row>
    <row r="330" spans="1:10">
      <c r="A330" s="8" t="s">
        <v>26</v>
      </c>
      <c r="B330" s="1" t="s">
        <v>439</v>
      </c>
      <c r="C330" s="1" t="s">
        <v>27</v>
      </c>
      <c r="D330" s="9">
        <f>D331</f>
        <v>412073.8</v>
      </c>
      <c r="E330" s="9">
        <f>E331</f>
        <v>412073.84535999998</v>
      </c>
      <c r="F330" s="9">
        <f t="shared" si="174"/>
        <v>327405.446</v>
      </c>
      <c r="G330" s="9">
        <f t="shared" si="174"/>
        <v>327405.446</v>
      </c>
      <c r="H330" s="9">
        <f>H331</f>
        <v>327405.446</v>
      </c>
      <c r="I330" s="9">
        <f t="shared" si="168"/>
        <v>79.453100381551479</v>
      </c>
      <c r="J330" s="9">
        <f t="shared" si="169"/>
        <v>100</v>
      </c>
    </row>
    <row r="331" spans="1:10">
      <c r="A331" s="8" t="s">
        <v>56</v>
      </c>
      <c r="B331" s="1" t="s">
        <v>439</v>
      </c>
      <c r="C331" s="1" t="s">
        <v>57</v>
      </c>
      <c r="D331" s="9">
        <f>ведомство!G1157</f>
        <v>412073.8</v>
      </c>
      <c r="E331" s="9">
        <f>ведомство!H1157</f>
        <v>412073.84535999998</v>
      </c>
      <c r="F331" s="9">
        <f>ведомство!I1157</f>
        <v>327405.446</v>
      </c>
      <c r="G331" s="9">
        <f>ведомство!J1157</f>
        <v>327405.446</v>
      </c>
      <c r="H331" s="9">
        <f>ведомство!K1157</f>
        <v>327405.446</v>
      </c>
      <c r="I331" s="9">
        <f t="shared" si="168"/>
        <v>79.453100381551479</v>
      </c>
      <c r="J331" s="9">
        <f t="shared" si="169"/>
        <v>100</v>
      </c>
    </row>
    <row r="332" spans="1:10">
      <c r="A332" s="8" t="s">
        <v>1146</v>
      </c>
      <c r="B332" s="24" t="s">
        <v>1145</v>
      </c>
      <c r="C332" s="1"/>
      <c r="D332" s="9">
        <f>D333</f>
        <v>0</v>
      </c>
      <c r="E332" s="9">
        <f>E333</f>
        <v>1800</v>
      </c>
      <c r="F332" s="9">
        <f t="shared" ref="F332:G333" si="175">F333</f>
        <v>1800</v>
      </c>
      <c r="G332" s="9">
        <f t="shared" si="175"/>
        <v>1800</v>
      </c>
      <c r="H332" s="9">
        <f>H333</f>
        <v>1800</v>
      </c>
      <c r="I332" s="9">
        <f t="shared" si="168"/>
        <v>100</v>
      </c>
      <c r="J332" s="9">
        <f t="shared" si="169"/>
        <v>100</v>
      </c>
    </row>
    <row r="333" spans="1:10">
      <c r="A333" s="25" t="s">
        <v>68</v>
      </c>
      <c r="B333" s="24" t="s">
        <v>1145</v>
      </c>
      <c r="C333" s="1">
        <v>300</v>
      </c>
      <c r="D333" s="9">
        <f>D334</f>
        <v>0</v>
      </c>
      <c r="E333" s="9">
        <f>E334</f>
        <v>1800</v>
      </c>
      <c r="F333" s="9">
        <f t="shared" si="175"/>
        <v>1800</v>
      </c>
      <c r="G333" s="9">
        <f t="shared" si="175"/>
        <v>1800</v>
      </c>
      <c r="H333" s="9">
        <f>H334</f>
        <v>1800</v>
      </c>
      <c r="I333" s="9">
        <f t="shared" si="168"/>
        <v>100</v>
      </c>
      <c r="J333" s="9">
        <f t="shared" si="169"/>
        <v>100</v>
      </c>
    </row>
    <row r="334" spans="1:10">
      <c r="A334" s="25" t="s">
        <v>373</v>
      </c>
      <c r="B334" s="24" t="s">
        <v>1145</v>
      </c>
      <c r="C334" s="1">
        <v>350</v>
      </c>
      <c r="D334" s="9">
        <f>ведомство!G1160</f>
        <v>0</v>
      </c>
      <c r="E334" s="9">
        <f>ведомство!H1160</f>
        <v>1800</v>
      </c>
      <c r="F334" s="9">
        <f>ведомство!I1160</f>
        <v>1800</v>
      </c>
      <c r="G334" s="9">
        <f>ведомство!J1160</f>
        <v>1800</v>
      </c>
      <c r="H334" s="9">
        <f>ведомство!K1160</f>
        <v>1800</v>
      </c>
      <c r="I334" s="9">
        <f t="shared" si="168"/>
        <v>100</v>
      </c>
      <c r="J334" s="9">
        <f t="shared" si="169"/>
        <v>100</v>
      </c>
    </row>
    <row r="335" spans="1:10" s="88" customFormat="1" ht="38.25">
      <c r="A335" s="59" t="s">
        <v>1240</v>
      </c>
      <c r="B335" s="29" t="s">
        <v>1239</v>
      </c>
      <c r="C335" s="28"/>
      <c r="D335" s="9">
        <f>D336</f>
        <v>1823</v>
      </c>
      <c r="E335" s="9">
        <f t="shared" ref="E335:H336" si="176">E336</f>
        <v>1822.9833599999999</v>
      </c>
      <c r="F335" s="9">
        <f t="shared" si="176"/>
        <v>1646.6793600000001</v>
      </c>
      <c r="G335" s="9">
        <f t="shared" si="176"/>
        <v>1646.6793600000001</v>
      </c>
      <c r="H335" s="9">
        <f t="shared" si="176"/>
        <v>1646.6793600000001</v>
      </c>
      <c r="I335" s="9">
        <f t="shared" ref="I335:I337" si="177">H335/E335*100</f>
        <v>90.32882011605416</v>
      </c>
      <c r="J335" s="9">
        <f t="shared" si="169"/>
        <v>100</v>
      </c>
    </row>
    <row r="336" spans="1:10" s="88" customFormat="1" ht="25.5">
      <c r="A336" s="59" t="s">
        <v>80</v>
      </c>
      <c r="B336" s="29" t="s">
        <v>1239</v>
      </c>
      <c r="C336" s="28">
        <v>600</v>
      </c>
      <c r="D336" s="9">
        <f>D337</f>
        <v>1823</v>
      </c>
      <c r="E336" s="9">
        <f t="shared" si="176"/>
        <v>1822.9833599999999</v>
      </c>
      <c r="F336" s="9">
        <f t="shared" si="176"/>
        <v>1646.6793600000001</v>
      </c>
      <c r="G336" s="9">
        <f t="shared" si="176"/>
        <v>1646.6793600000001</v>
      </c>
      <c r="H336" s="9">
        <f t="shared" si="176"/>
        <v>1646.6793600000001</v>
      </c>
      <c r="I336" s="9">
        <f t="shared" si="177"/>
        <v>90.32882011605416</v>
      </c>
      <c r="J336" s="9">
        <f t="shared" si="169"/>
        <v>100</v>
      </c>
    </row>
    <row r="337" spans="1:10" s="88" customFormat="1">
      <c r="A337" s="59" t="s">
        <v>82</v>
      </c>
      <c r="B337" s="29" t="s">
        <v>1239</v>
      </c>
      <c r="C337" s="28">
        <v>620</v>
      </c>
      <c r="D337" s="9">
        <f>ведомство!G1050</f>
        <v>1823</v>
      </c>
      <c r="E337" s="9">
        <f>ведомство!H1050</f>
        <v>1822.9833599999999</v>
      </c>
      <c r="F337" s="9">
        <f>ведомство!I1050</f>
        <v>1646.6793600000001</v>
      </c>
      <c r="G337" s="9">
        <f>ведомство!J1050</f>
        <v>1646.6793600000001</v>
      </c>
      <c r="H337" s="9">
        <f>ведомство!K1050</f>
        <v>1646.6793600000001</v>
      </c>
      <c r="I337" s="9">
        <f t="shared" si="177"/>
        <v>90.32882011605416</v>
      </c>
      <c r="J337" s="9">
        <f t="shared" si="169"/>
        <v>100</v>
      </c>
    </row>
    <row r="338" spans="1:10">
      <c r="A338" s="4" t="s">
        <v>0</v>
      </c>
      <c r="B338" s="17" t="s">
        <v>0</v>
      </c>
      <c r="C338" s="5" t="s">
        <v>0</v>
      </c>
      <c r="D338" s="7" t="s">
        <v>0</v>
      </c>
      <c r="E338" s="7" t="s">
        <v>0</v>
      </c>
      <c r="F338" s="7" t="s">
        <v>0</v>
      </c>
      <c r="G338" s="7" t="s">
        <v>0</v>
      </c>
      <c r="H338" s="7" t="s">
        <v>0</v>
      </c>
      <c r="I338" s="7"/>
      <c r="J338" s="7"/>
    </row>
    <row r="339" spans="1:10" ht="25.5">
      <c r="A339" s="34" t="s">
        <v>388</v>
      </c>
      <c r="B339" s="5" t="s">
        <v>389</v>
      </c>
      <c r="C339" s="5" t="s">
        <v>0</v>
      </c>
      <c r="D339" s="7">
        <f>D340+D345</f>
        <v>8170</v>
      </c>
      <c r="E339" s="7">
        <f t="shared" ref="E339" si="178">E340+E345</f>
        <v>8170</v>
      </c>
      <c r="F339" s="7">
        <f t="shared" ref="F339:H339" si="179">F340+F345</f>
        <v>7500</v>
      </c>
      <c r="G339" s="7">
        <f t="shared" si="179"/>
        <v>7500</v>
      </c>
      <c r="H339" s="7">
        <f t="shared" si="179"/>
        <v>7500</v>
      </c>
      <c r="I339" s="7">
        <f t="shared" si="168"/>
        <v>91.799265605875163</v>
      </c>
      <c r="J339" s="7">
        <f t="shared" si="169"/>
        <v>100</v>
      </c>
    </row>
    <row r="340" spans="1:10" ht="25.5">
      <c r="A340" s="8" t="s">
        <v>390</v>
      </c>
      <c r="B340" s="1" t="s">
        <v>391</v>
      </c>
      <c r="C340" s="1" t="s">
        <v>0</v>
      </c>
      <c r="D340" s="9">
        <f>D341</f>
        <v>7500</v>
      </c>
      <c r="E340" s="9">
        <f>E341</f>
        <v>7500</v>
      </c>
      <c r="F340" s="9">
        <f t="shared" ref="F340:G340" si="180">F341</f>
        <v>7500</v>
      </c>
      <c r="G340" s="9">
        <f t="shared" si="180"/>
        <v>7500</v>
      </c>
      <c r="H340" s="9">
        <f>H341</f>
        <v>7500</v>
      </c>
      <c r="I340" s="9">
        <f t="shared" si="168"/>
        <v>100</v>
      </c>
      <c r="J340" s="9">
        <f t="shared" si="169"/>
        <v>100</v>
      </c>
    </row>
    <row r="341" spans="1:10" ht="25.5">
      <c r="A341" s="8" t="s">
        <v>80</v>
      </c>
      <c r="B341" s="1" t="s">
        <v>391</v>
      </c>
      <c r="C341" s="1" t="s">
        <v>81</v>
      </c>
      <c r="D341" s="9">
        <f>D342+D343+D344</f>
        <v>7500</v>
      </c>
      <c r="E341" s="9">
        <f>E342+E343+E344</f>
        <v>7500</v>
      </c>
      <c r="F341" s="9">
        <f t="shared" ref="F341:G341" si="181">F342+F343+F344</f>
        <v>7500</v>
      </c>
      <c r="G341" s="9">
        <f t="shared" si="181"/>
        <v>7500</v>
      </c>
      <c r="H341" s="9">
        <f>H342+H343+H344</f>
        <v>7500</v>
      </c>
      <c r="I341" s="9">
        <f t="shared" si="168"/>
        <v>100</v>
      </c>
      <c r="J341" s="9">
        <f t="shared" si="169"/>
        <v>100</v>
      </c>
    </row>
    <row r="342" spans="1:10">
      <c r="A342" s="8" t="s">
        <v>271</v>
      </c>
      <c r="B342" s="1" t="s">
        <v>391</v>
      </c>
      <c r="C342" s="1">
        <v>610</v>
      </c>
      <c r="D342" s="9">
        <v>0</v>
      </c>
      <c r="E342" s="9">
        <f>ведомство!H940</f>
        <v>3352.85</v>
      </c>
      <c r="F342" s="9">
        <f>ведомство!I940</f>
        <v>3352.85</v>
      </c>
      <c r="G342" s="9">
        <f>ведомство!J940</f>
        <v>3352.85</v>
      </c>
      <c r="H342" s="9">
        <f>ведомство!K940</f>
        <v>3352.85</v>
      </c>
      <c r="I342" s="9">
        <f t="shared" si="168"/>
        <v>100</v>
      </c>
      <c r="J342" s="9">
        <f t="shared" si="169"/>
        <v>100</v>
      </c>
    </row>
    <row r="343" spans="1:10">
      <c r="A343" s="8" t="s">
        <v>82</v>
      </c>
      <c r="B343" s="1" t="s">
        <v>391</v>
      </c>
      <c r="C343" s="1">
        <v>620</v>
      </c>
      <c r="D343" s="9">
        <f>ведомство!G941</f>
        <v>0</v>
      </c>
      <c r="E343" s="9">
        <f>ведомство!H941</f>
        <v>3954.3</v>
      </c>
      <c r="F343" s="9">
        <f>ведомство!I941</f>
        <v>3954.3</v>
      </c>
      <c r="G343" s="9">
        <f>ведомство!J941</f>
        <v>3954.3</v>
      </c>
      <c r="H343" s="9">
        <f>ведомство!K941</f>
        <v>3954.3</v>
      </c>
      <c r="I343" s="9">
        <f t="shared" si="168"/>
        <v>100</v>
      </c>
      <c r="J343" s="9">
        <f t="shared" si="169"/>
        <v>100</v>
      </c>
    </row>
    <row r="344" spans="1:10" ht="25.5">
      <c r="A344" s="8" t="s">
        <v>195</v>
      </c>
      <c r="B344" s="1" t="s">
        <v>391</v>
      </c>
      <c r="C344" s="1" t="s">
        <v>196</v>
      </c>
      <c r="D344" s="9">
        <f>ведомство!G954</f>
        <v>7500</v>
      </c>
      <c r="E344" s="9">
        <f>ведомство!H942</f>
        <v>192.85</v>
      </c>
      <c r="F344" s="9">
        <f>ведомство!I942</f>
        <v>192.85</v>
      </c>
      <c r="G344" s="9">
        <f>ведомство!J942</f>
        <v>192.85</v>
      </c>
      <c r="H344" s="9">
        <f>ведомство!K942</f>
        <v>192.85</v>
      </c>
      <c r="I344" s="9">
        <f t="shared" si="168"/>
        <v>100</v>
      </c>
      <c r="J344" s="9">
        <f t="shared" si="169"/>
        <v>100</v>
      </c>
    </row>
    <row r="345" spans="1:10" s="88" customFormat="1">
      <c r="A345" s="8" t="s">
        <v>424</v>
      </c>
      <c r="B345" s="29" t="s">
        <v>1244</v>
      </c>
      <c r="C345" s="28"/>
      <c r="D345" s="9">
        <f>D346+D348</f>
        <v>670</v>
      </c>
      <c r="E345" s="9">
        <f t="shared" ref="E345" si="182">E346+E348</f>
        <v>670</v>
      </c>
      <c r="F345" s="9">
        <f t="shared" ref="F345:H345" si="183">F346+F348</f>
        <v>0</v>
      </c>
      <c r="G345" s="9">
        <f t="shared" si="183"/>
        <v>0</v>
      </c>
      <c r="H345" s="9">
        <f t="shared" si="183"/>
        <v>0</v>
      </c>
      <c r="I345" s="9">
        <f t="shared" ref="I345:I349" si="184">H345/E345*100</f>
        <v>0</v>
      </c>
      <c r="J345" s="9">
        <v>0</v>
      </c>
    </row>
    <row r="346" spans="1:10" s="88" customFormat="1" ht="25.5">
      <c r="A346" s="59" t="s">
        <v>64</v>
      </c>
      <c r="B346" s="29" t="s">
        <v>1244</v>
      </c>
      <c r="C346" s="28">
        <v>200</v>
      </c>
      <c r="D346" s="9">
        <f>D347</f>
        <v>8.4</v>
      </c>
      <c r="E346" s="9">
        <f t="shared" ref="E346:H346" si="185">E347</f>
        <v>8.4</v>
      </c>
      <c r="F346" s="9">
        <f t="shared" si="185"/>
        <v>0</v>
      </c>
      <c r="G346" s="9">
        <f t="shared" si="185"/>
        <v>0</v>
      </c>
      <c r="H346" s="9">
        <f t="shared" si="185"/>
        <v>0</v>
      </c>
      <c r="I346" s="9">
        <f t="shared" si="184"/>
        <v>0</v>
      </c>
      <c r="J346" s="9">
        <v>0</v>
      </c>
    </row>
    <row r="347" spans="1:10" s="88" customFormat="1" ht="25.5">
      <c r="A347" s="59" t="s">
        <v>66</v>
      </c>
      <c r="B347" s="29" t="s">
        <v>1244</v>
      </c>
      <c r="C347" s="28">
        <v>240</v>
      </c>
      <c r="D347" s="9">
        <f>ведомство!G1164</f>
        <v>8.4</v>
      </c>
      <c r="E347" s="9">
        <f>ведомство!H1164</f>
        <v>8.4</v>
      </c>
      <c r="F347" s="9">
        <f>ведомство!I1164</f>
        <v>0</v>
      </c>
      <c r="G347" s="9">
        <f>ведомство!J1164</f>
        <v>0</v>
      </c>
      <c r="H347" s="9">
        <f>ведомство!K1164</f>
        <v>0</v>
      </c>
      <c r="I347" s="9">
        <f t="shared" si="184"/>
        <v>0</v>
      </c>
      <c r="J347" s="9">
        <v>0</v>
      </c>
    </row>
    <row r="348" spans="1:10" s="88" customFormat="1">
      <c r="A348" s="59" t="s">
        <v>68</v>
      </c>
      <c r="B348" s="29" t="s">
        <v>1244</v>
      </c>
      <c r="C348" s="28">
        <v>300</v>
      </c>
      <c r="D348" s="9">
        <f>D349</f>
        <v>661.6</v>
      </c>
      <c r="E348" s="9">
        <f t="shared" ref="E348:H348" si="186">E349</f>
        <v>661.6</v>
      </c>
      <c r="F348" s="9">
        <f t="shared" si="186"/>
        <v>0</v>
      </c>
      <c r="G348" s="9">
        <f t="shared" si="186"/>
        <v>0</v>
      </c>
      <c r="H348" s="9">
        <f t="shared" si="186"/>
        <v>0</v>
      </c>
      <c r="I348" s="9">
        <f t="shared" si="184"/>
        <v>0</v>
      </c>
      <c r="J348" s="9">
        <v>0</v>
      </c>
    </row>
    <row r="349" spans="1:10" s="88" customFormat="1">
      <c r="A349" s="59" t="s">
        <v>70</v>
      </c>
      <c r="B349" s="29" t="s">
        <v>1244</v>
      </c>
      <c r="C349" s="28">
        <v>360</v>
      </c>
      <c r="D349" s="9">
        <f>ведомство!G1166</f>
        <v>661.6</v>
      </c>
      <c r="E349" s="9">
        <f>ведомство!H1166</f>
        <v>661.6</v>
      </c>
      <c r="F349" s="9">
        <f>ведомство!I1166</f>
        <v>0</v>
      </c>
      <c r="G349" s="9">
        <f>ведомство!J1166</f>
        <v>0</v>
      </c>
      <c r="H349" s="9">
        <f>ведомство!K1166</f>
        <v>0</v>
      </c>
      <c r="I349" s="9">
        <f t="shared" si="184"/>
        <v>0</v>
      </c>
      <c r="J349" s="9">
        <v>0</v>
      </c>
    </row>
    <row r="350" spans="1:10">
      <c r="A350" s="4" t="s">
        <v>0</v>
      </c>
      <c r="B350" s="17" t="s">
        <v>0</v>
      </c>
      <c r="C350" s="5" t="s">
        <v>0</v>
      </c>
      <c r="D350" s="7" t="s">
        <v>0</v>
      </c>
      <c r="E350" s="7" t="s">
        <v>0</v>
      </c>
      <c r="F350" s="7" t="s">
        <v>0</v>
      </c>
      <c r="G350" s="7" t="s">
        <v>0</v>
      </c>
      <c r="H350" s="7" t="s">
        <v>0</v>
      </c>
      <c r="I350" s="7"/>
      <c r="J350" s="7"/>
    </row>
    <row r="351" spans="1:10" ht="38.25">
      <c r="A351" s="4" t="s">
        <v>392</v>
      </c>
      <c r="B351" s="5" t="s">
        <v>393</v>
      </c>
      <c r="C351" s="5" t="s">
        <v>0</v>
      </c>
      <c r="D351" s="7">
        <f>D352+D355</f>
        <v>5593.6</v>
      </c>
      <c r="E351" s="7">
        <f>E352+E355</f>
        <v>5593.5860000000002</v>
      </c>
      <c r="F351" s="7">
        <f t="shared" ref="F351:G351" si="187">F352+F355</f>
        <v>3157.7130000000002</v>
      </c>
      <c r="G351" s="7">
        <f t="shared" si="187"/>
        <v>3157.7130000000002</v>
      </c>
      <c r="H351" s="7">
        <f>H352+H355</f>
        <v>3157.7130000000002</v>
      </c>
      <c r="I351" s="7">
        <f t="shared" si="168"/>
        <v>56.452390291308653</v>
      </c>
      <c r="J351" s="7">
        <f t="shared" si="169"/>
        <v>100</v>
      </c>
    </row>
    <row r="352" spans="1:10" ht="25.5">
      <c r="A352" s="8" t="s">
        <v>76</v>
      </c>
      <c r="B352" s="1" t="s">
        <v>421</v>
      </c>
      <c r="C352" s="1" t="s">
        <v>0</v>
      </c>
      <c r="D352" s="9">
        <f>D353</f>
        <v>4202.8</v>
      </c>
      <c r="E352" s="9">
        <f>E353</f>
        <v>4202.7860000000001</v>
      </c>
      <c r="F352" s="9">
        <f t="shared" ref="F352:G353" si="188">F353</f>
        <v>3057.7130000000002</v>
      </c>
      <c r="G352" s="9">
        <f t="shared" si="188"/>
        <v>3057.7130000000002</v>
      </c>
      <c r="H352" s="9">
        <f>H353</f>
        <v>3057.7130000000002</v>
      </c>
      <c r="I352" s="9">
        <f t="shared" si="168"/>
        <v>72.754430037598866</v>
      </c>
      <c r="J352" s="9">
        <f t="shared" si="169"/>
        <v>100</v>
      </c>
    </row>
    <row r="353" spans="1:10" ht="25.5">
      <c r="A353" s="8" t="s">
        <v>80</v>
      </c>
      <c r="B353" s="1" t="s">
        <v>421</v>
      </c>
      <c r="C353" s="1" t="s">
        <v>81</v>
      </c>
      <c r="D353" s="9">
        <f>D354</f>
        <v>4202.8</v>
      </c>
      <c r="E353" s="9">
        <f>E354</f>
        <v>4202.7860000000001</v>
      </c>
      <c r="F353" s="9">
        <f t="shared" si="188"/>
        <v>3057.7130000000002</v>
      </c>
      <c r="G353" s="9">
        <f t="shared" si="188"/>
        <v>3057.7130000000002</v>
      </c>
      <c r="H353" s="9">
        <f>H354</f>
        <v>3057.7130000000002</v>
      </c>
      <c r="I353" s="9">
        <f t="shared" si="168"/>
        <v>72.754430037598866</v>
      </c>
      <c r="J353" s="9">
        <f t="shared" si="169"/>
        <v>100</v>
      </c>
    </row>
    <row r="354" spans="1:10">
      <c r="A354" s="8" t="s">
        <v>271</v>
      </c>
      <c r="B354" s="1" t="s">
        <v>421</v>
      </c>
      <c r="C354" s="1" t="s">
        <v>272</v>
      </c>
      <c r="D354" s="9">
        <f>ведомство!G1063</f>
        <v>4202.8</v>
      </c>
      <c r="E354" s="9">
        <f>ведомство!H1063</f>
        <v>4202.7860000000001</v>
      </c>
      <c r="F354" s="9">
        <f>ведомство!I1063</f>
        <v>3057.7130000000002</v>
      </c>
      <c r="G354" s="9">
        <f>ведомство!J1063</f>
        <v>3057.7130000000002</v>
      </c>
      <c r="H354" s="9">
        <f>ведомство!K1063</f>
        <v>3057.7130000000002</v>
      </c>
      <c r="I354" s="9">
        <f t="shared" si="168"/>
        <v>72.754430037598866</v>
      </c>
      <c r="J354" s="9">
        <f t="shared" si="169"/>
        <v>100</v>
      </c>
    </row>
    <row r="355" spans="1:10" ht="25.5">
      <c r="A355" s="8" t="s">
        <v>390</v>
      </c>
      <c r="B355" s="1" t="s">
        <v>394</v>
      </c>
      <c r="C355" s="1" t="s">
        <v>0</v>
      </c>
      <c r="D355" s="9">
        <f>D356</f>
        <v>1390.8</v>
      </c>
      <c r="E355" s="9">
        <f>E356</f>
        <v>1390.8</v>
      </c>
      <c r="F355" s="9">
        <f t="shared" ref="F355:G356" si="189">F356</f>
        <v>100</v>
      </c>
      <c r="G355" s="9">
        <f t="shared" si="189"/>
        <v>100</v>
      </c>
      <c r="H355" s="9">
        <f>H356</f>
        <v>100</v>
      </c>
      <c r="I355" s="9">
        <f t="shared" si="168"/>
        <v>7.190106413574922</v>
      </c>
      <c r="J355" s="9">
        <f t="shared" si="169"/>
        <v>100</v>
      </c>
    </row>
    <row r="356" spans="1:10" ht="25.5">
      <c r="A356" s="8" t="s">
        <v>80</v>
      </c>
      <c r="B356" s="1" t="s">
        <v>394</v>
      </c>
      <c r="C356" s="1" t="s">
        <v>81</v>
      </c>
      <c r="D356" s="9">
        <f>D357</f>
        <v>1390.8</v>
      </c>
      <c r="E356" s="9">
        <f>E357</f>
        <v>1390.8</v>
      </c>
      <c r="F356" s="9">
        <f t="shared" si="189"/>
        <v>100</v>
      </c>
      <c r="G356" s="9">
        <f t="shared" si="189"/>
        <v>100</v>
      </c>
      <c r="H356" s="9">
        <f>H357</f>
        <v>100</v>
      </c>
      <c r="I356" s="9">
        <f t="shared" si="168"/>
        <v>7.190106413574922</v>
      </c>
      <c r="J356" s="9">
        <f t="shared" si="169"/>
        <v>100</v>
      </c>
    </row>
    <row r="357" spans="1:10">
      <c r="A357" s="8" t="s">
        <v>271</v>
      </c>
      <c r="B357" s="1" t="s">
        <v>394</v>
      </c>
      <c r="C357" s="1" t="s">
        <v>272</v>
      </c>
      <c r="D357" s="9">
        <f>ведомство!G958</f>
        <v>1390.8</v>
      </c>
      <c r="E357" s="9">
        <f>ведомство!H946</f>
        <v>1390.8</v>
      </c>
      <c r="F357" s="9">
        <f>ведомство!I946</f>
        <v>100</v>
      </c>
      <c r="G357" s="9">
        <f>ведомство!J946</f>
        <v>100</v>
      </c>
      <c r="H357" s="9">
        <f>ведомство!K946</f>
        <v>100</v>
      </c>
      <c r="I357" s="9">
        <f t="shared" si="168"/>
        <v>7.190106413574922</v>
      </c>
      <c r="J357" s="9">
        <f t="shared" si="169"/>
        <v>100</v>
      </c>
    </row>
    <row r="358" spans="1:10">
      <c r="A358" s="4" t="s">
        <v>0</v>
      </c>
      <c r="B358" s="17" t="s">
        <v>0</v>
      </c>
      <c r="C358" s="5" t="s">
        <v>0</v>
      </c>
      <c r="D358" s="7" t="s">
        <v>0</v>
      </c>
      <c r="E358" s="7" t="s">
        <v>0</v>
      </c>
      <c r="F358" s="7" t="s">
        <v>0</v>
      </c>
      <c r="G358" s="7" t="s">
        <v>0</v>
      </c>
      <c r="H358" s="7" t="s">
        <v>0</v>
      </c>
      <c r="I358" s="7"/>
      <c r="J358" s="7"/>
    </row>
    <row r="359" spans="1:10" ht="25.5">
      <c r="A359" s="4" t="s">
        <v>114</v>
      </c>
      <c r="B359" s="5" t="s">
        <v>115</v>
      </c>
      <c r="C359" s="5" t="s">
        <v>0</v>
      </c>
      <c r="D359" s="7">
        <f t="shared" ref="D359:E359" si="190">D369+D372+D375+D378+D384+D360+D363+D366+D381</f>
        <v>362158.3</v>
      </c>
      <c r="E359" s="7">
        <f t="shared" si="190"/>
        <v>387267.30176</v>
      </c>
      <c r="F359" s="7">
        <f t="shared" ref="F359:H359" si="191">F369+F372+F375+F378+F384+F360+F363+F366+F381</f>
        <v>238700.81059999997</v>
      </c>
      <c r="G359" s="7">
        <f t="shared" si="191"/>
        <v>238137.70231999998</v>
      </c>
      <c r="H359" s="7">
        <f t="shared" si="191"/>
        <v>238136.93490999998</v>
      </c>
      <c r="I359" s="7">
        <f t="shared" si="168"/>
        <v>61.491619309904934</v>
      </c>
      <c r="J359" s="7">
        <f t="shared" si="169"/>
        <v>99.763773030940854</v>
      </c>
    </row>
    <row r="360" spans="1:10" ht="38.25">
      <c r="A360" s="8" t="s">
        <v>1139</v>
      </c>
      <c r="B360" s="24" t="s">
        <v>1138</v>
      </c>
      <c r="C360" s="6"/>
      <c r="D360" s="22">
        <f>D361</f>
        <v>0</v>
      </c>
      <c r="E360" s="22">
        <f>E361</f>
        <v>25109</v>
      </c>
      <c r="F360" s="22">
        <f t="shared" ref="F360:G361" si="192">F361</f>
        <v>25109</v>
      </c>
      <c r="G360" s="22">
        <f t="shared" si="192"/>
        <v>25109</v>
      </c>
      <c r="H360" s="22">
        <f>H361</f>
        <v>25108.23259</v>
      </c>
      <c r="I360" s="22">
        <f t="shared" si="168"/>
        <v>99.996943685531079</v>
      </c>
      <c r="J360" s="9">
        <f t="shared" si="169"/>
        <v>99.996943685531079</v>
      </c>
    </row>
    <row r="361" spans="1:10">
      <c r="A361" s="8" t="s">
        <v>26</v>
      </c>
      <c r="B361" s="24" t="s">
        <v>1138</v>
      </c>
      <c r="C361" s="6">
        <v>500</v>
      </c>
      <c r="D361" s="22">
        <f>D362</f>
        <v>0</v>
      </c>
      <c r="E361" s="22">
        <f>E362</f>
        <v>25109</v>
      </c>
      <c r="F361" s="22">
        <f t="shared" si="192"/>
        <v>25109</v>
      </c>
      <c r="G361" s="22">
        <f t="shared" si="192"/>
        <v>25109</v>
      </c>
      <c r="H361" s="22">
        <f>H362</f>
        <v>25108.23259</v>
      </c>
      <c r="I361" s="22">
        <f t="shared" si="168"/>
        <v>99.996943685531079</v>
      </c>
      <c r="J361" s="9">
        <f t="shared" si="169"/>
        <v>99.996943685531079</v>
      </c>
    </row>
    <row r="362" spans="1:10">
      <c r="A362" s="8" t="s">
        <v>56</v>
      </c>
      <c r="B362" s="24" t="s">
        <v>1138</v>
      </c>
      <c r="C362" s="6">
        <v>520</v>
      </c>
      <c r="D362" s="22">
        <f>ведомство!G1008</f>
        <v>0</v>
      </c>
      <c r="E362" s="22">
        <f>ведомство!H1002</f>
        <v>25109</v>
      </c>
      <c r="F362" s="22">
        <f>ведомство!I1002</f>
        <v>25109</v>
      </c>
      <c r="G362" s="22">
        <f>ведомство!J1002</f>
        <v>25109</v>
      </c>
      <c r="H362" s="22">
        <f>ведомство!K1002</f>
        <v>25108.23259</v>
      </c>
      <c r="I362" s="22">
        <f t="shared" si="168"/>
        <v>99.996943685531079</v>
      </c>
      <c r="J362" s="9">
        <f t="shared" si="169"/>
        <v>99.996943685531079</v>
      </c>
    </row>
    <row r="363" spans="1:10" s="88" customFormat="1" ht="38.25">
      <c r="A363" s="59" t="s">
        <v>1225</v>
      </c>
      <c r="B363" s="29" t="s">
        <v>1224</v>
      </c>
      <c r="C363" s="58"/>
      <c r="D363" s="22">
        <f t="shared" ref="D363:H364" si="193">D364</f>
        <v>114100</v>
      </c>
      <c r="E363" s="22">
        <f t="shared" si="193"/>
        <v>114100</v>
      </c>
      <c r="F363" s="22">
        <f t="shared" si="193"/>
        <v>25000</v>
      </c>
      <c r="G363" s="22">
        <f t="shared" si="193"/>
        <v>25000</v>
      </c>
      <c r="H363" s="22">
        <f t="shared" si="193"/>
        <v>25000</v>
      </c>
      <c r="I363" s="22">
        <f t="shared" ref="I363:I365" si="194">H363/E363*100</f>
        <v>21.910604732690622</v>
      </c>
      <c r="J363" s="9">
        <f t="shared" si="169"/>
        <v>100</v>
      </c>
    </row>
    <row r="364" spans="1:10" s="88" customFormat="1">
      <c r="A364" s="59" t="s">
        <v>26</v>
      </c>
      <c r="B364" s="29" t="s">
        <v>1224</v>
      </c>
      <c r="C364" s="58">
        <v>500</v>
      </c>
      <c r="D364" s="22">
        <f t="shared" si="193"/>
        <v>114100</v>
      </c>
      <c r="E364" s="22">
        <f t="shared" si="193"/>
        <v>114100</v>
      </c>
      <c r="F364" s="22">
        <f t="shared" si="193"/>
        <v>25000</v>
      </c>
      <c r="G364" s="22">
        <f t="shared" si="193"/>
        <v>25000</v>
      </c>
      <c r="H364" s="22">
        <f t="shared" si="193"/>
        <v>25000</v>
      </c>
      <c r="I364" s="22">
        <f t="shared" si="194"/>
        <v>21.910604732690622</v>
      </c>
      <c r="J364" s="9">
        <f t="shared" si="169"/>
        <v>100</v>
      </c>
    </row>
    <row r="365" spans="1:10" s="88" customFormat="1">
      <c r="A365" s="59" t="s">
        <v>56</v>
      </c>
      <c r="B365" s="29" t="s">
        <v>1224</v>
      </c>
      <c r="C365" s="58">
        <v>520</v>
      </c>
      <c r="D365" s="22">
        <f>ведомство!G130</f>
        <v>114100</v>
      </c>
      <c r="E365" s="22">
        <f>ведомство!H130</f>
        <v>114100</v>
      </c>
      <c r="F365" s="22">
        <f>ведомство!I130</f>
        <v>25000</v>
      </c>
      <c r="G365" s="22">
        <f>ведомство!J130</f>
        <v>25000</v>
      </c>
      <c r="H365" s="22">
        <f>ведомство!K130</f>
        <v>25000</v>
      </c>
      <c r="I365" s="22">
        <f t="shared" si="194"/>
        <v>21.910604732690622</v>
      </c>
      <c r="J365" s="9">
        <f t="shared" si="169"/>
        <v>100</v>
      </c>
    </row>
    <row r="366" spans="1:10" s="88" customFormat="1" ht="38.25">
      <c r="A366" s="62" t="s">
        <v>1228</v>
      </c>
      <c r="B366" s="90" t="s">
        <v>1226</v>
      </c>
      <c r="C366" s="28"/>
      <c r="D366" s="22">
        <f t="shared" ref="D366:H367" si="195">D367</f>
        <v>8100</v>
      </c>
      <c r="E366" s="22">
        <f t="shared" si="195"/>
        <v>8100</v>
      </c>
      <c r="F366" s="22">
        <f t="shared" si="195"/>
        <v>8000</v>
      </c>
      <c r="G366" s="22">
        <f t="shared" si="195"/>
        <v>8000</v>
      </c>
      <c r="H366" s="22">
        <f t="shared" si="195"/>
        <v>8000</v>
      </c>
      <c r="I366" s="22">
        <f t="shared" ref="I366:I368" si="196">H366/E366*100</f>
        <v>98.76543209876543</v>
      </c>
      <c r="J366" s="9">
        <f t="shared" si="169"/>
        <v>100</v>
      </c>
    </row>
    <row r="367" spans="1:10" s="88" customFormat="1">
      <c r="A367" s="59" t="s">
        <v>26</v>
      </c>
      <c r="B367" s="90" t="s">
        <v>1226</v>
      </c>
      <c r="C367" s="28">
        <v>500</v>
      </c>
      <c r="D367" s="22">
        <f t="shared" si="195"/>
        <v>8100</v>
      </c>
      <c r="E367" s="22">
        <f t="shared" si="195"/>
        <v>8100</v>
      </c>
      <c r="F367" s="22">
        <f t="shared" si="195"/>
        <v>8000</v>
      </c>
      <c r="G367" s="22">
        <f t="shared" si="195"/>
        <v>8000</v>
      </c>
      <c r="H367" s="22">
        <f t="shared" si="195"/>
        <v>8000</v>
      </c>
      <c r="I367" s="22">
        <f t="shared" si="196"/>
        <v>98.76543209876543</v>
      </c>
      <c r="J367" s="9">
        <f t="shared" si="169"/>
        <v>100</v>
      </c>
    </row>
    <row r="368" spans="1:10" s="88" customFormat="1">
      <c r="A368" s="59" t="s">
        <v>56</v>
      </c>
      <c r="B368" s="90" t="s">
        <v>1226</v>
      </c>
      <c r="C368" s="28">
        <v>520</v>
      </c>
      <c r="D368" s="22">
        <f>ведомство!G136</f>
        <v>8100</v>
      </c>
      <c r="E368" s="22">
        <f>ведомство!H136</f>
        <v>8100</v>
      </c>
      <c r="F368" s="22">
        <f>ведомство!I136</f>
        <v>8000</v>
      </c>
      <c r="G368" s="22">
        <f>ведомство!J136</f>
        <v>8000</v>
      </c>
      <c r="H368" s="22">
        <f>ведомство!K136</f>
        <v>8000</v>
      </c>
      <c r="I368" s="22">
        <f t="shared" si="196"/>
        <v>98.76543209876543</v>
      </c>
      <c r="J368" s="9">
        <f t="shared" si="169"/>
        <v>100</v>
      </c>
    </row>
    <row r="369" spans="1:10" ht="25.5">
      <c r="A369" s="8" t="s">
        <v>76</v>
      </c>
      <c r="B369" s="1" t="s">
        <v>120</v>
      </c>
      <c r="C369" s="1" t="s">
        <v>0</v>
      </c>
      <c r="D369" s="9">
        <f>D370</f>
        <v>27671.599999999999</v>
      </c>
      <c r="E369" s="9">
        <f>E370</f>
        <v>27671.610940000002</v>
      </c>
      <c r="F369" s="9">
        <f t="shared" ref="F369:G370" si="197">F370</f>
        <v>1169.4917499999999</v>
      </c>
      <c r="G369" s="9">
        <f t="shared" si="197"/>
        <v>606.38346999999999</v>
      </c>
      <c r="H369" s="9">
        <f>H370</f>
        <v>606.38346999999999</v>
      </c>
      <c r="I369" s="9">
        <f t="shared" si="168"/>
        <v>2.1913558676248139</v>
      </c>
      <c r="J369" s="9">
        <f t="shared" si="169"/>
        <v>51.850170811380245</v>
      </c>
    </row>
    <row r="370" spans="1:10" ht="25.5">
      <c r="A370" s="8" t="s">
        <v>64</v>
      </c>
      <c r="B370" s="1" t="s">
        <v>120</v>
      </c>
      <c r="C370" s="1" t="s">
        <v>65</v>
      </c>
      <c r="D370" s="9">
        <f>D371</f>
        <v>27671.599999999999</v>
      </c>
      <c r="E370" s="9">
        <f>E371</f>
        <v>27671.610940000002</v>
      </c>
      <c r="F370" s="9">
        <f t="shared" si="197"/>
        <v>1169.4917499999999</v>
      </c>
      <c r="G370" s="9">
        <f t="shared" si="197"/>
        <v>606.38346999999999</v>
      </c>
      <c r="H370" s="9">
        <f>H371</f>
        <v>606.38346999999999</v>
      </c>
      <c r="I370" s="9">
        <f t="shared" si="168"/>
        <v>2.1913558676248139</v>
      </c>
      <c r="J370" s="9">
        <f t="shared" si="169"/>
        <v>51.850170811380245</v>
      </c>
    </row>
    <row r="371" spans="1:10" ht="25.5">
      <c r="A371" s="8" t="s">
        <v>66</v>
      </c>
      <c r="B371" s="1" t="s">
        <v>120</v>
      </c>
      <c r="C371" s="1" t="s">
        <v>67</v>
      </c>
      <c r="D371" s="9">
        <f>ведомство!G133+ведомство!G159</f>
        <v>27671.599999999999</v>
      </c>
      <c r="E371" s="9">
        <f>ведомство!H133+ведомство!H159</f>
        <v>27671.610940000002</v>
      </c>
      <c r="F371" s="9">
        <f>ведомство!I133+ведомство!I159</f>
        <v>1169.4917499999999</v>
      </c>
      <c r="G371" s="9">
        <f>ведомство!J133+ведомство!J159</f>
        <v>606.38346999999999</v>
      </c>
      <c r="H371" s="9">
        <f>ведомство!K133+ведомство!K159</f>
        <v>606.38346999999999</v>
      </c>
      <c r="I371" s="9">
        <f t="shared" si="168"/>
        <v>2.1913558676248139</v>
      </c>
      <c r="J371" s="9">
        <f t="shared" si="169"/>
        <v>51.850170811380245</v>
      </c>
    </row>
    <row r="372" spans="1:10" ht="38.25">
      <c r="A372" s="8" t="s">
        <v>37</v>
      </c>
      <c r="B372" s="1" t="s">
        <v>128</v>
      </c>
      <c r="C372" s="1" t="s">
        <v>0</v>
      </c>
      <c r="D372" s="9">
        <f>D373</f>
        <v>341.1</v>
      </c>
      <c r="E372" s="9">
        <f>E373</f>
        <v>341.07893999999999</v>
      </c>
      <c r="F372" s="9">
        <f t="shared" ref="F372:G373" si="198">F373</f>
        <v>334.82893999999999</v>
      </c>
      <c r="G372" s="9">
        <f t="shared" si="198"/>
        <v>334.82893999999999</v>
      </c>
      <c r="H372" s="9">
        <f>H373</f>
        <v>334.82893999999999</v>
      </c>
      <c r="I372" s="9">
        <f t="shared" si="168"/>
        <v>98.167579622476836</v>
      </c>
      <c r="J372" s="9">
        <f t="shared" si="169"/>
        <v>100</v>
      </c>
    </row>
    <row r="373" spans="1:10" ht="25.5">
      <c r="A373" s="8" t="s">
        <v>39</v>
      </c>
      <c r="B373" s="1" t="s">
        <v>128</v>
      </c>
      <c r="C373" s="1" t="s">
        <v>40</v>
      </c>
      <c r="D373" s="9">
        <f>D374</f>
        <v>341.1</v>
      </c>
      <c r="E373" s="9">
        <f>E374</f>
        <v>341.07893999999999</v>
      </c>
      <c r="F373" s="9">
        <f t="shared" si="198"/>
        <v>334.82893999999999</v>
      </c>
      <c r="G373" s="9">
        <f t="shared" si="198"/>
        <v>334.82893999999999</v>
      </c>
      <c r="H373" s="9">
        <f>H374</f>
        <v>334.82893999999999</v>
      </c>
      <c r="I373" s="9">
        <f t="shared" si="168"/>
        <v>98.167579622476836</v>
      </c>
      <c r="J373" s="9">
        <f t="shared" si="169"/>
        <v>100</v>
      </c>
    </row>
    <row r="374" spans="1:10">
      <c r="A374" s="8" t="s">
        <v>41</v>
      </c>
      <c r="B374" s="1" t="s">
        <v>128</v>
      </c>
      <c r="C374" s="1" t="s">
        <v>42</v>
      </c>
      <c r="D374" s="9">
        <f>ведомство!G162</f>
        <v>341.1</v>
      </c>
      <c r="E374" s="9">
        <f>ведомство!H162</f>
        <v>341.07893999999999</v>
      </c>
      <c r="F374" s="9">
        <f>ведомство!I162</f>
        <v>334.82893999999999</v>
      </c>
      <c r="G374" s="9">
        <f>ведомство!J162</f>
        <v>334.82893999999999</v>
      </c>
      <c r="H374" s="9">
        <f>ведомство!K162</f>
        <v>334.82893999999999</v>
      </c>
      <c r="I374" s="9">
        <f t="shared" si="168"/>
        <v>98.167579622476836</v>
      </c>
      <c r="J374" s="9">
        <f t="shared" si="169"/>
        <v>100</v>
      </c>
    </row>
    <row r="375" spans="1:10" ht="25.5">
      <c r="A375" s="8" t="s">
        <v>107</v>
      </c>
      <c r="B375" s="1" t="s">
        <v>116</v>
      </c>
      <c r="C375" s="1" t="s">
        <v>0</v>
      </c>
      <c r="D375" s="9">
        <f>D376</f>
        <v>161665.79999999999</v>
      </c>
      <c r="E375" s="9">
        <f>E376</f>
        <v>161665.78988</v>
      </c>
      <c r="F375" s="9">
        <f t="shared" ref="F375:G376" si="199">F376</f>
        <v>128807.66791</v>
      </c>
      <c r="G375" s="9">
        <f t="shared" si="199"/>
        <v>128807.66791</v>
      </c>
      <c r="H375" s="9">
        <f>H376</f>
        <v>128807.66791</v>
      </c>
      <c r="I375" s="9">
        <f t="shared" si="168"/>
        <v>79.675278242608002</v>
      </c>
      <c r="J375" s="9">
        <f t="shared" si="169"/>
        <v>100</v>
      </c>
    </row>
    <row r="376" spans="1:10">
      <c r="A376" s="8" t="s">
        <v>26</v>
      </c>
      <c r="B376" s="1" t="s">
        <v>116</v>
      </c>
      <c r="C376" s="1" t="s">
        <v>27</v>
      </c>
      <c r="D376" s="9">
        <f>D377</f>
        <v>161665.79999999999</v>
      </c>
      <c r="E376" s="9">
        <f>E377</f>
        <v>161665.78988</v>
      </c>
      <c r="F376" s="9">
        <f t="shared" si="199"/>
        <v>128807.66791</v>
      </c>
      <c r="G376" s="9">
        <f t="shared" si="199"/>
        <v>128807.66791</v>
      </c>
      <c r="H376" s="9">
        <f>H377</f>
        <v>128807.66791</v>
      </c>
      <c r="I376" s="9">
        <f t="shared" si="168"/>
        <v>79.675278242608002</v>
      </c>
      <c r="J376" s="9">
        <f t="shared" si="169"/>
        <v>100</v>
      </c>
    </row>
    <row r="377" spans="1:10">
      <c r="A377" s="8" t="s">
        <v>56</v>
      </c>
      <c r="B377" s="1" t="s">
        <v>116</v>
      </c>
      <c r="C377" s="1" t="s">
        <v>57</v>
      </c>
      <c r="D377" s="9">
        <f>ведомство!G117+ведомство!G139</f>
        <v>161665.79999999999</v>
      </c>
      <c r="E377" s="9">
        <f>ведомство!H117+ведомство!H139</f>
        <v>161665.78988</v>
      </c>
      <c r="F377" s="9">
        <f>ведомство!I117+ведомство!I139</f>
        <v>128807.66791</v>
      </c>
      <c r="G377" s="9">
        <f>ведомство!J117+ведомство!J139</f>
        <v>128807.66791</v>
      </c>
      <c r="H377" s="9">
        <f>ведомство!K117+ведомство!K139</f>
        <v>128807.66791</v>
      </c>
      <c r="I377" s="9">
        <f t="shared" si="168"/>
        <v>79.675278242608002</v>
      </c>
      <c r="J377" s="9">
        <f t="shared" si="169"/>
        <v>100</v>
      </c>
    </row>
    <row r="378" spans="1:10" ht="51">
      <c r="A378" s="8" t="s">
        <v>117</v>
      </c>
      <c r="B378" s="1" t="s">
        <v>118</v>
      </c>
      <c r="C378" s="1" t="s">
        <v>0</v>
      </c>
      <c r="D378" s="9">
        <f>D379</f>
        <v>45616</v>
      </c>
      <c r="E378" s="9">
        <f>E379</f>
        <v>45616</v>
      </c>
      <c r="F378" s="9">
        <f t="shared" ref="F378:G379" si="200">F379</f>
        <v>45616</v>
      </c>
      <c r="G378" s="9">
        <f t="shared" si="200"/>
        <v>45616</v>
      </c>
      <c r="H378" s="9">
        <f>H379</f>
        <v>45616</v>
      </c>
      <c r="I378" s="9">
        <f t="shared" si="168"/>
        <v>100</v>
      </c>
      <c r="J378" s="9">
        <f t="shared" si="169"/>
        <v>100</v>
      </c>
    </row>
    <row r="379" spans="1:10">
      <c r="A379" s="8" t="s">
        <v>26</v>
      </c>
      <c r="B379" s="1" t="s">
        <v>118</v>
      </c>
      <c r="C379" s="1" t="s">
        <v>27</v>
      </c>
      <c r="D379" s="9">
        <f>D380</f>
        <v>45616</v>
      </c>
      <c r="E379" s="9">
        <f>E380</f>
        <v>45616</v>
      </c>
      <c r="F379" s="9">
        <f t="shared" si="200"/>
        <v>45616</v>
      </c>
      <c r="G379" s="9">
        <f t="shared" si="200"/>
        <v>45616</v>
      </c>
      <c r="H379" s="9">
        <f>H380</f>
        <v>45616</v>
      </c>
      <c r="I379" s="9">
        <f t="shared" si="168"/>
        <v>100</v>
      </c>
      <c r="J379" s="9">
        <f t="shared" si="169"/>
        <v>100</v>
      </c>
    </row>
    <row r="380" spans="1:10">
      <c r="A380" s="8" t="s">
        <v>56</v>
      </c>
      <c r="B380" s="1" t="s">
        <v>118</v>
      </c>
      <c r="C380" s="1" t="s">
        <v>57</v>
      </c>
      <c r="D380" s="9">
        <f>ведомство!G120</f>
        <v>45616</v>
      </c>
      <c r="E380" s="9">
        <f>ведомство!H120</f>
        <v>45616</v>
      </c>
      <c r="F380" s="9">
        <f>ведомство!I120</f>
        <v>45616</v>
      </c>
      <c r="G380" s="9">
        <f>ведомство!J120</f>
        <v>45616</v>
      </c>
      <c r="H380" s="9">
        <f>ведомство!K120</f>
        <v>45616</v>
      </c>
      <c r="I380" s="9">
        <f t="shared" si="168"/>
        <v>100</v>
      </c>
      <c r="J380" s="9">
        <f t="shared" si="169"/>
        <v>100</v>
      </c>
    </row>
    <row r="381" spans="1:10" s="88" customFormat="1">
      <c r="A381" s="59" t="s">
        <v>1238</v>
      </c>
      <c r="B381" s="29" t="s">
        <v>1237</v>
      </c>
      <c r="C381" s="58"/>
      <c r="D381" s="9">
        <f t="shared" ref="D381:H382" si="201">D382</f>
        <v>663.8</v>
      </c>
      <c r="E381" s="9">
        <f t="shared" si="201"/>
        <v>663.822</v>
      </c>
      <c r="F381" s="9">
        <f t="shared" si="201"/>
        <v>663.822</v>
      </c>
      <c r="G381" s="9">
        <f t="shared" si="201"/>
        <v>663.822</v>
      </c>
      <c r="H381" s="9">
        <f t="shared" si="201"/>
        <v>663.822</v>
      </c>
      <c r="I381" s="9">
        <f t="shared" ref="I381:I383" si="202">H381/E381*100</f>
        <v>100</v>
      </c>
      <c r="J381" s="9">
        <f t="shared" ref="J381:J386" si="203">H381/F381*100</f>
        <v>100</v>
      </c>
    </row>
    <row r="382" spans="1:10" s="88" customFormat="1">
      <c r="A382" s="59" t="s">
        <v>26</v>
      </c>
      <c r="B382" s="29" t="s">
        <v>1237</v>
      </c>
      <c r="C382" s="58">
        <v>500</v>
      </c>
      <c r="D382" s="9">
        <f t="shared" si="201"/>
        <v>663.8</v>
      </c>
      <c r="E382" s="9">
        <f t="shared" si="201"/>
        <v>663.822</v>
      </c>
      <c r="F382" s="9">
        <f t="shared" si="201"/>
        <v>663.822</v>
      </c>
      <c r="G382" s="9">
        <f t="shared" si="201"/>
        <v>663.822</v>
      </c>
      <c r="H382" s="9">
        <f t="shared" si="201"/>
        <v>663.822</v>
      </c>
      <c r="I382" s="9">
        <f t="shared" si="202"/>
        <v>100</v>
      </c>
      <c r="J382" s="9">
        <f t="shared" si="203"/>
        <v>100</v>
      </c>
    </row>
    <row r="383" spans="1:10" s="88" customFormat="1">
      <c r="A383" s="59" t="s">
        <v>56</v>
      </c>
      <c r="B383" s="29" t="s">
        <v>1237</v>
      </c>
      <c r="C383" s="58">
        <v>520</v>
      </c>
      <c r="D383" s="9">
        <f>ведомство!G1005</f>
        <v>663.8</v>
      </c>
      <c r="E383" s="9">
        <f>ведомство!H1005</f>
        <v>663.822</v>
      </c>
      <c r="F383" s="9">
        <f>ведомство!I1005</f>
        <v>663.822</v>
      </c>
      <c r="G383" s="9">
        <f>ведомство!J1005</f>
        <v>663.822</v>
      </c>
      <c r="H383" s="9">
        <f>ведомство!K1005</f>
        <v>663.822</v>
      </c>
      <c r="I383" s="9">
        <f t="shared" si="202"/>
        <v>100</v>
      </c>
      <c r="J383" s="9">
        <f t="shared" si="203"/>
        <v>100</v>
      </c>
    </row>
    <row r="384" spans="1:10" ht="38.25">
      <c r="A384" s="8" t="s">
        <v>406</v>
      </c>
      <c r="B384" s="1" t="s">
        <v>407</v>
      </c>
      <c r="C384" s="1" t="s">
        <v>0</v>
      </c>
      <c r="D384" s="9">
        <f>D385</f>
        <v>4000</v>
      </c>
      <c r="E384" s="9">
        <f>E385</f>
        <v>4000</v>
      </c>
      <c r="F384" s="9">
        <f t="shared" ref="F384:G385" si="204">F385</f>
        <v>4000</v>
      </c>
      <c r="G384" s="9">
        <f t="shared" si="204"/>
        <v>4000</v>
      </c>
      <c r="H384" s="9">
        <f>H385</f>
        <v>4000</v>
      </c>
      <c r="I384" s="9">
        <f t="shared" si="168"/>
        <v>100</v>
      </c>
      <c r="J384" s="9">
        <f t="shared" si="203"/>
        <v>100</v>
      </c>
    </row>
    <row r="385" spans="1:10">
      <c r="A385" s="8" t="s">
        <v>26</v>
      </c>
      <c r="B385" s="1" t="s">
        <v>407</v>
      </c>
      <c r="C385" s="1" t="s">
        <v>27</v>
      </c>
      <c r="D385" s="9">
        <f>D386</f>
        <v>4000</v>
      </c>
      <c r="E385" s="9">
        <f>E386</f>
        <v>4000</v>
      </c>
      <c r="F385" s="9">
        <f t="shared" si="204"/>
        <v>4000</v>
      </c>
      <c r="G385" s="9">
        <f t="shared" si="204"/>
        <v>4000</v>
      </c>
      <c r="H385" s="9">
        <f>H386</f>
        <v>4000</v>
      </c>
      <c r="I385" s="9">
        <f t="shared" si="168"/>
        <v>100</v>
      </c>
      <c r="J385" s="9">
        <f t="shared" si="203"/>
        <v>100</v>
      </c>
    </row>
    <row r="386" spans="1:10">
      <c r="A386" s="8" t="s">
        <v>56</v>
      </c>
      <c r="B386" s="1" t="s">
        <v>407</v>
      </c>
      <c r="C386" s="1" t="s">
        <v>57</v>
      </c>
      <c r="D386" s="9">
        <f>ведомство!G1011</f>
        <v>4000</v>
      </c>
      <c r="E386" s="9">
        <f>ведомство!H1011</f>
        <v>4000</v>
      </c>
      <c r="F386" s="9">
        <f>ведомство!I1011</f>
        <v>4000</v>
      </c>
      <c r="G386" s="9">
        <f>ведомство!J1011</f>
        <v>4000</v>
      </c>
      <c r="H386" s="9">
        <f>ведомство!K1011</f>
        <v>4000</v>
      </c>
      <c r="I386" s="9">
        <f t="shared" si="168"/>
        <v>100</v>
      </c>
      <c r="J386" s="9">
        <f t="shared" si="203"/>
        <v>100</v>
      </c>
    </row>
    <row r="387" spans="1:10">
      <c r="A387" s="4" t="s">
        <v>0</v>
      </c>
      <c r="B387" s="17" t="s">
        <v>0</v>
      </c>
      <c r="C387" s="5" t="s">
        <v>0</v>
      </c>
      <c r="D387" s="7" t="s">
        <v>0</v>
      </c>
      <c r="E387" s="7" t="s">
        <v>0</v>
      </c>
      <c r="F387" s="7" t="s">
        <v>0</v>
      </c>
      <c r="G387" s="7" t="s">
        <v>0</v>
      </c>
      <c r="H387" s="7" t="s">
        <v>0</v>
      </c>
      <c r="I387" s="7"/>
      <c r="J387" s="7"/>
    </row>
    <row r="388" spans="1:10" ht="25.5">
      <c r="A388" s="4" t="s">
        <v>299</v>
      </c>
      <c r="B388" s="5" t="s">
        <v>300</v>
      </c>
      <c r="C388" s="5" t="s">
        <v>0</v>
      </c>
      <c r="D388" s="7">
        <f>D389+D424+D617+D637+D642+D660+D672+D708</f>
        <v>10638142.299999999</v>
      </c>
      <c r="E388" s="7">
        <f>E389+E424+E617+E637+E642+E660+E672+E708</f>
        <v>10716275.411549997</v>
      </c>
      <c r="F388" s="7">
        <f t="shared" ref="F388:G388" si="205">F389+F424+F617+F637+F642+F660+F672+F708</f>
        <v>8175500.3673400003</v>
      </c>
      <c r="G388" s="7">
        <f t="shared" si="205"/>
        <v>8175138.41677</v>
      </c>
      <c r="H388" s="7">
        <f>H389+H424+H617+H637+H642+H660+H672+H708</f>
        <v>8127888.6347699994</v>
      </c>
      <c r="I388" s="7">
        <f t="shared" si="168"/>
        <v>75.846208898380539</v>
      </c>
      <c r="J388" s="7">
        <f t="shared" si="169"/>
        <v>99.417629130564251</v>
      </c>
    </row>
    <row r="389" spans="1:10" ht="38.25">
      <c r="A389" s="4" t="s">
        <v>770</v>
      </c>
      <c r="B389" s="5" t="s">
        <v>771</v>
      </c>
      <c r="C389" s="5" t="s">
        <v>0</v>
      </c>
      <c r="D389" s="7">
        <f>D390+D393+D406++D409+D414+D417+D420</f>
        <v>2054778.7000000002</v>
      </c>
      <c r="E389" s="7">
        <f>E390+E393+E406++E409+E414+E417+E420</f>
        <v>2052888.6768000002</v>
      </c>
      <c r="F389" s="7">
        <f t="shared" ref="F389:G389" si="206">F390+F393+F406++F409+F414+F417+F420</f>
        <v>1514936.7360999999</v>
      </c>
      <c r="G389" s="7">
        <f t="shared" si="206"/>
        <v>1514866.0360999999</v>
      </c>
      <c r="H389" s="7">
        <f>H390+H393+H406++H409+H414+H417+H420</f>
        <v>1499394.4589800001</v>
      </c>
      <c r="I389" s="7">
        <f t="shared" si="168"/>
        <v>73.038274112224371</v>
      </c>
      <c r="J389" s="7">
        <f t="shared" si="169"/>
        <v>98.974064279409362</v>
      </c>
    </row>
    <row r="390" spans="1:10" ht="140.25">
      <c r="A390" s="8" t="s">
        <v>860</v>
      </c>
      <c r="B390" s="1" t="s">
        <v>861</v>
      </c>
      <c r="C390" s="1" t="s">
        <v>0</v>
      </c>
      <c r="D390" s="9">
        <f>D391</f>
        <v>164.1</v>
      </c>
      <c r="E390" s="9">
        <f>E391</f>
        <v>164.1</v>
      </c>
      <c r="F390" s="9">
        <f t="shared" ref="F390:G391" si="207">F391</f>
        <v>0</v>
      </c>
      <c r="G390" s="9">
        <f t="shared" si="207"/>
        <v>0</v>
      </c>
      <c r="H390" s="9">
        <f>H391</f>
        <v>0</v>
      </c>
      <c r="I390" s="9">
        <f t="shared" si="168"/>
        <v>0</v>
      </c>
      <c r="J390" s="9">
        <v>0</v>
      </c>
    </row>
    <row r="391" spans="1:10" ht="25.5">
      <c r="A391" s="8" t="s">
        <v>80</v>
      </c>
      <c r="B391" s="1" t="s">
        <v>861</v>
      </c>
      <c r="C391" s="1" t="s">
        <v>81</v>
      </c>
      <c r="D391" s="9">
        <f>D392</f>
        <v>164.1</v>
      </c>
      <c r="E391" s="9">
        <f>E392</f>
        <v>164.1</v>
      </c>
      <c r="F391" s="9">
        <f t="shared" si="207"/>
        <v>0</v>
      </c>
      <c r="G391" s="9">
        <f t="shared" si="207"/>
        <v>0</v>
      </c>
      <c r="H391" s="9">
        <f>H392</f>
        <v>0</v>
      </c>
      <c r="I391" s="9">
        <f t="shared" si="168"/>
        <v>0</v>
      </c>
      <c r="J391" s="9">
        <v>0</v>
      </c>
    </row>
    <row r="392" spans="1:10">
      <c r="A392" s="8" t="s">
        <v>271</v>
      </c>
      <c r="B392" s="1" t="s">
        <v>861</v>
      </c>
      <c r="C392" s="1" t="s">
        <v>272</v>
      </c>
      <c r="D392" s="9">
        <f>ведомство!G2147</f>
        <v>164.1</v>
      </c>
      <c r="E392" s="9">
        <f>ведомство!H2147</f>
        <v>164.1</v>
      </c>
      <c r="F392" s="9">
        <f>ведомство!I2147</f>
        <v>0</v>
      </c>
      <c r="G392" s="9">
        <f>ведомство!J2147</f>
        <v>0</v>
      </c>
      <c r="H392" s="9">
        <f>ведомство!K2147</f>
        <v>0</v>
      </c>
      <c r="I392" s="9">
        <f t="shared" si="168"/>
        <v>0</v>
      </c>
      <c r="J392" s="9">
        <v>0</v>
      </c>
    </row>
    <row r="393" spans="1:10" ht="17.25" customHeight="1">
      <c r="A393" s="8" t="s">
        <v>76</v>
      </c>
      <c r="B393" s="1" t="s">
        <v>772</v>
      </c>
      <c r="C393" s="1" t="s">
        <v>0</v>
      </c>
      <c r="D393" s="9">
        <f>D394+D396+D398+D400+D403</f>
        <v>1947758.7</v>
      </c>
      <c r="E393" s="9">
        <f>E394+E396+E398+E400+E403</f>
        <v>1979868.6768</v>
      </c>
      <c r="F393" s="9">
        <f t="shared" ref="F393:G393" si="208">F394+F396+F398+F400+F403</f>
        <v>1486063.7969999998</v>
      </c>
      <c r="G393" s="9">
        <f t="shared" si="208"/>
        <v>1485993.0969999998</v>
      </c>
      <c r="H393" s="9">
        <f>H394+H396+H398+H400+H403</f>
        <v>1472330.40408</v>
      </c>
      <c r="I393" s="9">
        <f t="shared" si="168"/>
        <v>74.365053669098984</v>
      </c>
      <c r="J393" s="9">
        <f t="shared" si="169"/>
        <v>99.075854418382022</v>
      </c>
    </row>
    <row r="394" spans="1:10" ht="51">
      <c r="A394" s="8" t="s">
        <v>60</v>
      </c>
      <c r="B394" s="1" t="s">
        <v>772</v>
      </c>
      <c r="C394" s="1" t="s">
        <v>61</v>
      </c>
      <c r="D394" s="9">
        <f>D395</f>
        <v>270444.09999999998</v>
      </c>
      <c r="E394" s="9">
        <f>E395</f>
        <v>269814.48300000001</v>
      </c>
      <c r="F394" s="9">
        <f t="shared" ref="F394:G394" si="209">F395</f>
        <v>202459.83199999999</v>
      </c>
      <c r="G394" s="9">
        <f t="shared" si="209"/>
        <v>202459.83199999999</v>
      </c>
      <c r="H394" s="9">
        <f>H395</f>
        <v>190043.97381999998</v>
      </c>
      <c r="I394" s="9">
        <f t="shared" si="168"/>
        <v>70.435052895214668</v>
      </c>
      <c r="J394" s="9">
        <f t="shared" si="169"/>
        <v>93.867495563268065</v>
      </c>
    </row>
    <row r="395" spans="1:10">
      <c r="A395" s="8" t="s">
        <v>78</v>
      </c>
      <c r="B395" s="1" t="s">
        <v>772</v>
      </c>
      <c r="C395" s="1" t="s">
        <v>79</v>
      </c>
      <c r="D395" s="9">
        <f>ведомство!G1904</f>
        <v>270444.09999999998</v>
      </c>
      <c r="E395" s="9">
        <f>ведомство!H1904</f>
        <v>269814.48300000001</v>
      </c>
      <c r="F395" s="9">
        <f>ведомство!I1904</f>
        <v>202459.83199999999</v>
      </c>
      <c r="G395" s="9">
        <f>ведомство!J1904</f>
        <v>202459.83199999999</v>
      </c>
      <c r="H395" s="9">
        <f>ведомство!K1904</f>
        <v>190043.97381999998</v>
      </c>
      <c r="I395" s="9">
        <f t="shared" si="168"/>
        <v>70.435052895214668</v>
      </c>
      <c r="J395" s="9">
        <f t="shared" si="169"/>
        <v>93.867495563268065</v>
      </c>
    </row>
    <row r="396" spans="1:10" ht="25.5">
      <c r="A396" s="8" t="s">
        <v>64</v>
      </c>
      <c r="B396" s="1" t="s">
        <v>772</v>
      </c>
      <c r="C396" s="1" t="s">
        <v>65</v>
      </c>
      <c r="D396" s="9">
        <f>D397</f>
        <v>28756.799999999999</v>
      </c>
      <c r="E396" s="9">
        <f>E397</f>
        <v>28731.792799999999</v>
      </c>
      <c r="F396" s="9">
        <f t="shared" ref="F396:G396" si="210">F397</f>
        <v>19740.27</v>
      </c>
      <c r="G396" s="9">
        <f t="shared" si="210"/>
        <v>19740.27</v>
      </c>
      <c r="H396" s="9">
        <f>H397</f>
        <v>18645.415349999999</v>
      </c>
      <c r="I396" s="9">
        <f t="shared" si="168"/>
        <v>64.89471603735079</v>
      </c>
      <c r="J396" s="9">
        <f t="shared" si="169"/>
        <v>94.453699721432372</v>
      </c>
    </row>
    <row r="397" spans="1:10" ht="25.5">
      <c r="A397" s="8" t="s">
        <v>66</v>
      </c>
      <c r="B397" s="1" t="s">
        <v>772</v>
      </c>
      <c r="C397" s="1" t="s">
        <v>67</v>
      </c>
      <c r="D397" s="9">
        <f>ведомство!G1906</f>
        <v>28756.799999999999</v>
      </c>
      <c r="E397" s="9">
        <f>ведомство!H1906</f>
        <v>28731.792799999999</v>
      </c>
      <c r="F397" s="9">
        <f>ведомство!I1906</f>
        <v>19740.27</v>
      </c>
      <c r="G397" s="9">
        <f>ведомство!J1906</f>
        <v>19740.27</v>
      </c>
      <c r="H397" s="9">
        <f>ведомство!K1906</f>
        <v>18645.415349999999</v>
      </c>
      <c r="I397" s="9">
        <f t="shared" si="168"/>
        <v>64.89471603735079</v>
      </c>
      <c r="J397" s="9">
        <f t="shared" si="169"/>
        <v>94.453699721432372</v>
      </c>
    </row>
    <row r="398" spans="1:10">
      <c r="A398" s="25" t="s">
        <v>68</v>
      </c>
      <c r="B398" s="1" t="s">
        <v>772</v>
      </c>
      <c r="C398" s="1">
        <v>300</v>
      </c>
      <c r="D398" s="9">
        <f>D399</f>
        <v>0</v>
      </c>
      <c r="E398" s="9">
        <f>E399</f>
        <v>609.34299999999996</v>
      </c>
      <c r="F398" s="9">
        <f t="shared" ref="F398:G398" si="211">F399</f>
        <v>578.40599999999995</v>
      </c>
      <c r="G398" s="9">
        <f t="shared" si="211"/>
        <v>578.40599999999995</v>
      </c>
      <c r="H398" s="9">
        <f>H399</f>
        <v>456.84034000000003</v>
      </c>
      <c r="I398" s="9">
        <f t="shared" ref="I398:I399" si="212">H398/E398*100</f>
        <v>74.972608202605102</v>
      </c>
      <c r="J398" s="9">
        <f t="shared" ref="J398:J399" si="213">H398/F398*100</f>
        <v>78.982641950463872</v>
      </c>
    </row>
    <row r="399" spans="1:10" ht="25.5">
      <c r="A399" s="8" t="s">
        <v>151</v>
      </c>
      <c r="B399" s="1" t="s">
        <v>772</v>
      </c>
      <c r="C399" s="1">
        <v>320</v>
      </c>
      <c r="D399" s="9">
        <f>ведомство!G1908</f>
        <v>0</v>
      </c>
      <c r="E399" s="9">
        <f>ведомство!H1908</f>
        <v>609.34299999999996</v>
      </c>
      <c r="F399" s="9">
        <f>ведомство!I1908</f>
        <v>578.40599999999995</v>
      </c>
      <c r="G399" s="9">
        <f>ведомство!J1908</f>
        <v>578.40599999999995</v>
      </c>
      <c r="H399" s="9">
        <f>ведомство!K1908</f>
        <v>456.84034000000003</v>
      </c>
      <c r="I399" s="9">
        <f t="shared" si="212"/>
        <v>74.972608202605102</v>
      </c>
      <c r="J399" s="9">
        <f t="shared" si="213"/>
        <v>78.982641950463872</v>
      </c>
    </row>
    <row r="400" spans="1:10" ht="25.5">
      <c r="A400" s="8" t="s">
        <v>80</v>
      </c>
      <c r="B400" s="1" t="s">
        <v>772</v>
      </c>
      <c r="C400" s="1" t="s">
        <v>81</v>
      </c>
      <c r="D400" s="9">
        <f>D401+D402</f>
        <v>1648164.3</v>
      </c>
      <c r="E400" s="9">
        <f>E401+E402</f>
        <v>1680274.294</v>
      </c>
      <c r="F400" s="9">
        <f t="shared" ref="F400:G400" si="214">F401+F402</f>
        <v>1262921.2709999999</v>
      </c>
      <c r="G400" s="9">
        <f t="shared" si="214"/>
        <v>1262921.2709999999</v>
      </c>
      <c r="H400" s="9">
        <f>H401+H402</f>
        <v>1262921.2709999999</v>
      </c>
      <c r="I400" s="9">
        <f t="shared" si="168"/>
        <v>75.161613524035729</v>
      </c>
      <c r="J400" s="9">
        <f t="shared" si="169"/>
        <v>100</v>
      </c>
    </row>
    <row r="401" spans="1:10">
      <c r="A401" s="8" t="s">
        <v>271</v>
      </c>
      <c r="B401" s="1" t="s">
        <v>772</v>
      </c>
      <c r="C401" s="1" t="s">
        <v>272</v>
      </c>
      <c r="D401" s="9">
        <f>ведомство!G1910</f>
        <v>1537765.8</v>
      </c>
      <c r="E401" s="9">
        <f>ведомство!H1910</f>
        <v>1550493.85405</v>
      </c>
      <c r="F401" s="9">
        <f>ведомство!I1910</f>
        <v>1167331.071</v>
      </c>
      <c r="G401" s="9">
        <f>ведомство!J1910</f>
        <v>1167331.071</v>
      </c>
      <c r="H401" s="9">
        <f>ведомство!K1910</f>
        <v>1167331.071</v>
      </c>
      <c r="I401" s="9">
        <f t="shared" si="168"/>
        <v>75.287694172463077</v>
      </c>
      <c r="J401" s="9">
        <f t="shared" si="169"/>
        <v>100</v>
      </c>
    </row>
    <row r="402" spans="1:10">
      <c r="A402" s="8" t="s">
        <v>82</v>
      </c>
      <c r="B402" s="1" t="s">
        <v>772</v>
      </c>
      <c r="C402" s="1" t="s">
        <v>83</v>
      </c>
      <c r="D402" s="9">
        <f>ведомство!G1911</f>
        <v>110398.5</v>
      </c>
      <c r="E402" s="9">
        <f>ведомство!H1911</f>
        <v>129780.43995</v>
      </c>
      <c r="F402" s="9">
        <f>ведомство!I1911</f>
        <v>95590.2</v>
      </c>
      <c r="G402" s="9">
        <f>ведомство!J1911</f>
        <v>95590.2</v>
      </c>
      <c r="H402" s="9">
        <f>ведомство!K1911</f>
        <v>95590.2</v>
      </c>
      <c r="I402" s="9">
        <f t="shared" si="168"/>
        <v>73.655321277095112</v>
      </c>
      <c r="J402" s="9">
        <f t="shared" si="169"/>
        <v>100</v>
      </c>
    </row>
    <row r="403" spans="1:10">
      <c r="A403" s="8" t="s">
        <v>72</v>
      </c>
      <c r="B403" s="1" t="s">
        <v>772</v>
      </c>
      <c r="C403" s="1" t="s">
        <v>73</v>
      </c>
      <c r="D403" s="9">
        <f>D404+D405</f>
        <v>393.5</v>
      </c>
      <c r="E403" s="9">
        <f>E404+E405</f>
        <v>438.76400000000007</v>
      </c>
      <c r="F403" s="9">
        <f t="shared" ref="F403:G403" si="215">F404+F405</f>
        <v>364.01800000000003</v>
      </c>
      <c r="G403" s="9">
        <f t="shared" si="215"/>
        <v>293.31800000000004</v>
      </c>
      <c r="H403" s="9">
        <f>H404+H405</f>
        <v>262.90357</v>
      </c>
      <c r="I403" s="9">
        <f t="shared" ref="I403:I466" si="216">H403/E403*100</f>
        <v>59.919129646005587</v>
      </c>
      <c r="J403" s="9">
        <f t="shared" ref="J403:J466" si="217">H403/F403*100</f>
        <v>72.222684043096763</v>
      </c>
    </row>
    <row r="404" spans="1:10">
      <c r="A404" s="8" t="s">
        <v>84</v>
      </c>
      <c r="B404" s="1" t="s">
        <v>772</v>
      </c>
      <c r="C404" s="1" t="s">
        <v>85</v>
      </c>
      <c r="D404" s="9">
        <f>ведомство!G1913</f>
        <v>18</v>
      </c>
      <c r="E404" s="9">
        <f>ведомство!H1913</f>
        <v>63.253999999999998</v>
      </c>
      <c r="F404" s="9">
        <f>ведомство!I1913</f>
        <v>60.753999999999998</v>
      </c>
      <c r="G404" s="9">
        <f>ведомство!J1913</f>
        <v>60.753999999999998</v>
      </c>
      <c r="H404" s="9">
        <f>ведомство!K1913</f>
        <v>60.753999999999998</v>
      </c>
      <c r="I404" s="9">
        <f t="shared" si="216"/>
        <v>96.047680779081162</v>
      </c>
      <c r="J404" s="9">
        <f t="shared" si="217"/>
        <v>100</v>
      </c>
    </row>
    <row r="405" spans="1:10">
      <c r="A405" s="8" t="s">
        <v>74</v>
      </c>
      <c r="B405" s="1" t="s">
        <v>772</v>
      </c>
      <c r="C405" s="1" t="s">
        <v>75</v>
      </c>
      <c r="D405" s="9">
        <f>ведомство!G1914</f>
        <v>375.5</v>
      </c>
      <c r="E405" s="9">
        <f>ведомство!H1914</f>
        <v>375.51000000000005</v>
      </c>
      <c r="F405" s="9">
        <f>ведомство!I1914</f>
        <v>303.26400000000001</v>
      </c>
      <c r="G405" s="9">
        <f>ведомство!J1914</f>
        <v>232.56400000000002</v>
      </c>
      <c r="H405" s="9">
        <f>ведомство!K1914</f>
        <v>202.14957000000001</v>
      </c>
      <c r="I405" s="9">
        <f t="shared" si="216"/>
        <v>53.833338659423177</v>
      </c>
      <c r="J405" s="9">
        <f t="shared" si="217"/>
        <v>66.65795148781261</v>
      </c>
    </row>
    <row r="406" spans="1:10" ht="63.75">
      <c r="A406" s="8" t="s">
        <v>367</v>
      </c>
      <c r="B406" s="1" t="s">
        <v>773</v>
      </c>
      <c r="C406" s="1" t="s">
        <v>0</v>
      </c>
      <c r="D406" s="9">
        <f>D407</f>
        <v>64000</v>
      </c>
      <c r="E406" s="9">
        <f>E407</f>
        <v>30000</v>
      </c>
      <c r="F406" s="9">
        <f t="shared" ref="F406:G407" si="218">F407</f>
        <v>0</v>
      </c>
      <c r="G406" s="9">
        <f t="shared" si="218"/>
        <v>0</v>
      </c>
      <c r="H406" s="9">
        <f>H407</f>
        <v>0</v>
      </c>
      <c r="I406" s="9">
        <f t="shared" si="216"/>
        <v>0</v>
      </c>
      <c r="J406" s="9">
        <v>0</v>
      </c>
    </row>
    <row r="407" spans="1:10">
      <c r="A407" s="8" t="s">
        <v>72</v>
      </c>
      <c r="B407" s="1" t="s">
        <v>773</v>
      </c>
      <c r="C407" s="1" t="s">
        <v>73</v>
      </c>
      <c r="D407" s="9">
        <f>D408</f>
        <v>64000</v>
      </c>
      <c r="E407" s="9">
        <f>E408</f>
        <v>30000</v>
      </c>
      <c r="F407" s="9">
        <f t="shared" si="218"/>
        <v>0</v>
      </c>
      <c r="G407" s="9">
        <f t="shared" si="218"/>
        <v>0</v>
      </c>
      <c r="H407" s="9">
        <f>H408</f>
        <v>0</v>
      </c>
      <c r="I407" s="9">
        <f t="shared" si="216"/>
        <v>0</v>
      </c>
      <c r="J407" s="9">
        <v>0</v>
      </c>
    </row>
    <row r="408" spans="1:10">
      <c r="A408" s="8" t="s">
        <v>369</v>
      </c>
      <c r="B408" s="1" t="s">
        <v>773</v>
      </c>
      <c r="C408" s="1" t="s">
        <v>370</v>
      </c>
      <c r="D408" s="9">
        <f>ведомство!G1917</f>
        <v>64000</v>
      </c>
      <c r="E408" s="9">
        <f>ведомство!H1917</f>
        <v>30000</v>
      </c>
      <c r="F408" s="9">
        <f>ведомство!I1917</f>
        <v>0</v>
      </c>
      <c r="G408" s="9">
        <f>ведомство!J1917</f>
        <v>0</v>
      </c>
      <c r="H408" s="9">
        <f>ведомство!K1917</f>
        <v>0</v>
      </c>
      <c r="I408" s="9">
        <f t="shared" si="216"/>
        <v>0</v>
      </c>
      <c r="J408" s="9">
        <v>0</v>
      </c>
    </row>
    <row r="409" spans="1:10" ht="25.5">
      <c r="A409" s="8" t="s">
        <v>774</v>
      </c>
      <c r="B409" s="1" t="s">
        <v>775</v>
      </c>
      <c r="C409" s="1" t="s">
        <v>0</v>
      </c>
      <c r="D409" s="9">
        <f>D410+D412</f>
        <v>5495.2</v>
      </c>
      <c r="E409" s="9">
        <f>E410+E412</f>
        <v>5495.2</v>
      </c>
      <c r="F409" s="9">
        <f t="shared" ref="F409:G409" si="219">F410+F412</f>
        <v>856.86900000000003</v>
      </c>
      <c r="G409" s="9">
        <f t="shared" si="219"/>
        <v>856.86900000000003</v>
      </c>
      <c r="H409" s="9">
        <f>H410+H412</f>
        <v>566.40612999999996</v>
      </c>
      <c r="I409" s="9">
        <f t="shared" si="216"/>
        <v>10.307288724705197</v>
      </c>
      <c r="J409" s="9">
        <f t="shared" si="217"/>
        <v>66.101834702854219</v>
      </c>
    </row>
    <row r="410" spans="1:10" ht="25.5">
      <c r="A410" s="8" t="s">
        <v>80</v>
      </c>
      <c r="B410" s="1" t="s">
        <v>775</v>
      </c>
      <c r="C410" s="1" t="s">
        <v>81</v>
      </c>
      <c r="D410" s="9">
        <f>D411</f>
        <v>5232.8</v>
      </c>
      <c r="E410" s="9">
        <f>E411</f>
        <v>5232.79</v>
      </c>
      <c r="F410" s="9">
        <f t="shared" ref="F410:G410" si="220">F411</f>
        <v>711.49</v>
      </c>
      <c r="G410" s="9">
        <f t="shared" si="220"/>
        <v>711.49</v>
      </c>
      <c r="H410" s="9">
        <f>H411</f>
        <v>458.03429999999997</v>
      </c>
      <c r="I410" s="9">
        <f t="shared" si="216"/>
        <v>8.753156537908076</v>
      </c>
      <c r="J410" s="9">
        <f t="shared" si="217"/>
        <v>64.376772688302012</v>
      </c>
    </row>
    <row r="411" spans="1:10" ht="25.5">
      <c r="A411" s="8" t="s">
        <v>195</v>
      </c>
      <c r="B411" s="1" t="s">
        <v>775</v>
      </c>
      <c r="C411" s="1" t="s">
        <v>196</v>
      </c>
      <c r="D411" s="9">
        <f>ведомство!G1920</f>
        <v>5232.8</v>
      </c>
      <c r="E411" s="9">
        <f>ведомство!H1920</f>
        <v>5232.79</v>
      </c>
      <c r="F411" s="9">
        <f>ведомство!I1920</f>
        <v>711.49</v>
      </c>
      <c r="G411" s="9">
        <f>ведомство!J1920</f>
        <v>711.49</v>
      </c>
      <c r="H411" s="9">
        <f>ведомство!K1920</f>
        <v>458.03429999999997</v>
      </c>
      <c r="I411" s="9">
        <f t="shared" si="216"/>
        <v>8.753156537908076</v>
      </c>
      <c r="J411" s="9">
        <f t="shared" si="217"/>
        <v>64.376772688302012</v>
      </c>
    </row>
    <row r="412" spans="1:10">
      <c r="A412" s="8" t="s">
        <v>72</v>
      </c>
      <c r="B412" s="1" t="s">
        <v>775</v>
      </c>
      <c r="C412" s="1" t="s">
        <v>73</v>
      </c>
      <c r="D412" s="9">
        <f>D413</f>
        <v>262.39999999999998</v>
      </c>
      <c r="E412" s="9">
        <f>E413</f>
        <v>262.41000000000003</v>
      </c>
      <c r="F412" s="9">
        <f t="shared" ref="F412:G412" si="221">F413</f>
        <v>145.37899999999999</v>
      </c>
      <c r="G412" s="9">
        <f t="shared" si="221"/>
        <v>145.37899999999999</v>
      </c>
      <c r="H412" s="9">
        <f>H413</f>
        <v>108.37183</v>
      </c>
      <c r="I412" s="9">
        <f t="shared" si="216"/>
        <v>41.29866620936702</v>
      </c>
      <c r="J412" s="9">
        <f t="shared" si="217"/>
        <v>74.54434959657172</v>
      </c>
    </row>
    <row r="413" spans="1:10" ht="38.25">
      <c r="A413" s="8" t="s">
        <v>218</v>
      </c>
      <c r="B413" s="1" t="s">
        <v>775</v>
      </c>
      <c r="C413" s="1" t="s">
        <v>219</v>
      </c>
      <c r="D413" s="9">
        <f>ведомство!G1922</f>
        <v>262.39999999999998</v>
      </c>
      <c r="E413" s="9">
        <f>ведомство!H1922</f>
        <v>262.41000000000003</v>
      </c>
      <c r="F413" s="9">
        <f>ведомство!I1922</f>
        <v>145.37899999999999</v>
      </c>
      <c r="G413" s="9">
        <f>ведомство!J1922</f>
        <v>145.37899999999999</v>
      </c>
      <c r="H413" s="9">
        <f>ведомство!K1922</f>
        <v>108.37183</v>
      </c>
      <c r="I413" s="9">
        <f t="shared" si="216"/>
        <v>41.29866620936702</v>
      </c>
      <c r="J413" s="9">
        <f t="shared" si="217"/>
        <v>74.54434959657172</v>
      </c>
    </row>
    <row r="414" spans="1:10" ht="51">
      <c r="A414" s="8" t="s">
        <v>862</v>
      </c>
      <c r="B414" s="1" t="s">
        <v>863</v>
      </c>
      <c r="C414" s="1" t="s">
        <v>0</v>
      </c>
      <c r="D414" s="9">
        <f>D415</f>
        <v>25</v>
      </c>
      <c r="E414" s="9">
        <f>E415</f>
        <v>25</v>
      </c>
      <c r="F414" s="9">
        <f t="shared" ref="F414:G415" si="222">F415</f>
        <v>13.9001</v>
      </c>
      <c r="G414" s="9">
        <f t="shared" si="222"/>
        <v>13.9001</v>
      </c>
      <c r="H414" s="9">
        <f>H415</f>
        <v>13.9001</v>
      </c>
      <c r="I414" s="9">
        <f t="shared" si="216"/>
        <v>55.600400000000008</v>
      </c>
      <c r="J414" s="9">
        <f t="shared" si="217"/>
        <v>100</v>
      </c>
    </row>
    <row r="415" spans="1:10" ht="25.5">
      <c r="A415" s="8" t="s">
        <v>80</v>
      </c>
      <c r="B415" s="1" t="s">
        <v>863</v>
      </c>
      <c r="C415" s="1" t="s">
        <v>81</v>
      </c>
      <c r="D415" s="9">
        <f>D416</f>
        <v>25</v>
      </c>
      <c r="E415" s="9">
        <f>E416</f>
        <v>25</v>
      </c>
      <c r="F415" s="9">
        <f t="shared" si="222"/>
        <v>13.9001</v>
      </c>
      <c r="G415" s="9">
        <f t="shared" si="222"/>
        <v>13.9001</v>
      </c>
      <c r="H415" s="9">
        <f>H416</f>
        <v>13.9001</v>
      </c>
      <c r="I415" s="9">
        <f t="shared" si="216"/>
        <v>55.600400000000008</v>
      </c>
      <c r="J415" s="9">
        <f t="shared" si="217"/>
        <v>100</v>
      </c>
    </row>
    <row r="416" spans="1:10">
      <c r="A416" s="8" t="s">
        <v>271</v>
      </c>
      <c r="B416" s="1" t="s">
        <v>863</v>
      </c>
      <c r="C416" s="1" t="s">
        <v>272</v>
      </c>
      <c r="D416" s="9">
        <f>ведомство!G2150</f>
        <v>25</v>
      </c>
      <c r="E416" s="9">
        <f>ведомство!H2150</f>
        <v>25</v>
      </c>
      <c r="F416" s="9">
        <f>ведомство!I2150</f>
        <v>13.9001</v>
      </c>
      <c r="G416" s="9">
        <f>ведомство!J2150</f>
        <v>13.9001</v>
      </c>
      <c r="H416" s="9">
        <f>ведомство!K2150</f>
        <v>13.9001</v>
      </c>
      <c r="I416" s="9">
        <f t="shared" si="216"/>
        <v>55.600400000000008</v>
      </c>
      <c r="J416" s="9">
        <f t="shared" si="217"/>
        <v>100</v>
      </c>
    </row>
    <row r="417" spans="1:10" ht="25.5">
      <c r="A417" s="8" t="s">
        <v>776</v>
      </c>
      <c r="B417" s="1" t="s">
        <v>777</v>
      </c>
      <c r="C417" s="1" t="s">
        <v>0</v>
      </c>
      <c r="D417" s="9">
        <f>D418</f>
        <v>5190.6000000000004</v>
      </c>
      <c r="E417" s="9">
        <f>E418</f>
        <v>5190.6000000000004</v>
      </c>
      <c r="F417" s="9">
        <f t="shared" ref="F417:G418" si="223">F418</f>
        <v>3893.33</v>
      </c>
      <c r="G417" s="9">
        <f t="shared" si="223"/>
        <v>3893.33</v>
      </c>
      <c r="H417" s="9">
        <f>H418</f>
        <v>3893.33</v>
      </c>
      <c r="I417" s="9">
        <f t="shared" si="216"/>
        <v>75.007320926289822</v>
      </c>
      <c r="J417" s="9">
        <f t="shared" si="217"/>
        <v>100</v>
      </c>
    </row>
    <row r="418" spans="1:10" ht="25.5">
      <c r="A418" s="8" t="s">
        <v>80</v>
      </c>
      <c r="B418" s="1" t="s">
        <v>777</v>
      </c>
      <c r="C418" s="1" t="s">
        <v>81</v>
      </c>
      <c r="D418" s="9">
        <f>D419</f>
        <v>5190.6000000000004</v>
      </c>
      <c r="E418" s="9">
        <f>E419</f>
        <v>5190.6000000000004</v>
      </c>
      <c r="F418" s="9">
        <f t="shared" si="223"/>
        <v>3893.33</v>
      </c>
      <c r="G418" s="9">
        <f t="shared" si="223"/>
        <v>3893.33</v>
      </c>
      <c r="H418" s="9">
        <f>H419</f>
        <v>3893.33</v>
      </c>
      <c r="I418" s="9">
        <f t="shared" si="216"/>
        <v>75.007320926289822</v>
      </c>
      <c r="J418" s="9">
        <f t="shared" si="217"/>
        <v>100</v>
      </c>
    </row>
    <row r="419" spans="1:10">
      <c r="A419" s="8" t="s">
        <v>271</v>
      </c>
      <c r="B419" s="1" t="s">
        <v>777</v>
      </c>
      <c r="C419" s="1" t="s">
        <v>272</v>
      </c>
      <c r="D419" s="9">
        <f>ведомство!G1925</f>
        <v>5190.6000000000004</v>
      </c>
      <c r="E419" s="9">
        <f>ведомство!H1925</f>
        <v>5190.6000000000004</v>
      </c>
      <c r="F419" s="9">
        <f>ведомство!I1925</f>
        <v>3893.33</v>
      </c>
      <c r="G419" s="9">
        <f>ведомство!J1925</f>
        <v>3893.33</v>
      </c>
      <c r="H419" s="9">
        <f>ведомство!K1925</f>
        <v>3893.33</v>
      </c>
      <c r="I419" s="9">
        <f t="shared" si="216"/>
        <v>75.007320926289822</v>
      </c>
      <c r="J419" s="9">
        <f t="shared" si="217"/>
        <v>100</v>
      </c>
    </row>
    <row r="420" spans="1:10" ht="38.25">
      <c r="A420" s="8" t="s">
        <v>878</v>
      </c>
      <c r="B420" s="1" t="s">
        <v>879</v>
      </c>
      <c r="C420" s="1" t="s">
        <v>0</v>
      </c>
      <c r="D420" s="9">
        <f>D421</f>
        <v>32145.1</v>
      </c>
      <c r="E420" s="9">
        <f>E421</f>
        <v>32145.1</v>
      </c>
      <c r="F420" s="9">
        <f t="shared" ref="F420:G421" si="224">F421</f>
        <v>24108.84</v>
      </c>
      <c r="G420" s="9">
        <f t="shared" si="224"/>
        <v>24108.84</v>
      </c>
      <c r="H420" s="9">
        <f>H421</f>
        <v>22590.418669999999</v>
      </c>
      <c r="I420" s="9">
        <f t="shared" si="216"/>
        <v>70.276398797950549</v>
      </c>
      <c r="J420" s="9">
        <f t="shared" si="217"/>
        <v>93.701806764655615</v>
      </c>
    </row>
    <row r="421" spans="1:10">
      <c r="A421" s="8" t="s">
        <v>26</v>
      </c>
      <c r="B421" s="1" t="s">
        <v>879</v>
      </c>
      <c r="C421" s="1" t="s">
        <v>27</v>
      </c>
      <c r="D421" s="9">
        <f>D422</f>
        <v>32145.1</v>
      </c>
      <c r="E421" s="9">
        <f>E422</f>
        <v>32145.1</v>
      </c>
      <c r="F421" s="9">
        <f t="shared" si="224"/>
        <v>24108.84</v>
      </c>
      <c r="G421" s="9">
        <f t="shared" si="224"/>
        <v>24108.84</v>
      </c>
      <c r="H421" s="9">
        <f>H422</f>
        <v>22590.418669999999</v>
      </c>
      <c r="I421" s="9">
        <f t="shared" si="216"/>
        <v>70.276398797950549</v>
      </c>
      <c r="J421" s="9">
        <f t="shared" si="217"/>
        <v>93.701806764655615</v>
      </c>
    </row>
    <row r="422" spans="1:10">
      <c r="A422" s="8" t="s">
        <v>28</v>
      </c>
      <c r="B422" s="1" t="s">
        <v>879</v>
      </c>
      <c r="C422" s="1" t="s">
        <v>29</v>
      </c>
      <c r="D422" s="9">
        <f>ведомство!G2190</f>
        <v>32145.1</v>
      </c>
      <c r="E422" s="9">
        <f>ведомство!H2190</f>
        <v>32145.1</v>
      </c>
      <c r="F422" s="9">
        <f>ведомство!I2190</f>
        <v>24108.84</v>
      </c>
      <c r="G422" s="9">
        <f>ведомство!J2190</f>
        <v>24108.84</v>
      </c>
      <c r="H422" s="9">
        <f>ведомство!K2190</f>
        <v>22590.418669999999</v>
      </c>
      <c r="I422" s="9">
        <f t="shared" si="216"/>
        <v>70.276398797950549</v>
      </c>
      <c r="J422" s="9">
        <f t="shared" si="217"/>
        <v>93.701806764655615</v>
      </c>
    </row>
    <row r="423" spans="1:10">
      <c r="A423" s="4" t="s">
        <v>0</v>
      </c>
      <c r="B423" s="17" t="s">
        <v>0</v>
      </c>
      <c r="C423" s="5" t="s">
        <v>0</v>
      </c>
      <c r="D423" s="7" t="s">
        <v>0</v>
      </c>
      <c r="E423" s="7" t="s">
        <v>0</v>
      </c>
      <c r="F423" s="7" t="s">
        <v>0</v>
      </c>
      <c r="G423" s="7" t="s">
        <v>0</v>
      </c>
      <c r="H423" s="7" t="s">
        <v>0</v>
      </c>
      <c r="I423" s="7"/>
      <c r="J423" s="7"/>
    </row>
    <row r="424" spans="1:10" ht="38.25">
      <c r="A424" s="4" t="s">
        <v>765</v>
      </c>
      <c r="B424" s="5" t="s">
        <v>766</v>
      </c>
      <c r="C424" s="5" t="s">
        <v>0</v>
      </c>
      <c r="D424" s="7">
        <f>D425+D428+D431+D434+D439+D444+D449+D454+D459+D464+D469+D474+D477+D482+D487+D492+D497+D500+D505+D510+D515+D520+D525+D530+D535+D540+D545+D550+D555+D560+D565+D570+D575+D580+D585+D590+D595+D600+D605+D608+D611</f>
        <v>8148778</v>
      </c>
      <c r="E424" s="7">
        <f>E425+E428+E431+E434+E439+E444+E449+E454+E459+E464+E469+E474+E477+E482+E487+E492+E497+E500+E505+E510+E515+E520+E525+E530+E535+E540+E545+E550+E555+E560+E565+E570+E575+E580+E585+E590+E595+E600+E605+E608+E611</f>
        <v>8149395.8447499992</v>
      </c>
      <c r="F424" s="7">
        <f t="shared" ref="F424:G424" si="225">F425+F428+F431+F434+F439+F444+F449+F454+F459+F464+F469+F474+F477+F482+F487+F492+F497+F500+F505+F510+F515+F520+F525+F530+F535+F540+F545+F550+F555+F560+F565+F570+F575+F580+F585+F590+F595+F600+F605+F608+F611</f>
        <v>6183560.6473199995</v>
      </c>
      <c r="G424" s="7">
        <f t="shared" si="225"/>
        <v>6183269.3967499994</v>
      </c>
      <c r="H424" s="7">
        <f>H425+H428+H431+H434+H439+H444+H449+H454+H459+H464+H469+H474+H477+H482+H487+H492+H497+H500+H505+H510+H515+H520+H525+H530+H535+H540+H545+H550+H555+H560+H565+H570+H575+H580+H585+H590+H595+H600+H605+H608+H611</f>
        <v>6179706.617589999</v>
      </c>
      <c r="I424" s="7">
        <f t="shared" si="216"/>
        <v>75.830242331044545</v>
      </c>
      <c r="J424" s="7">
        <f t="shared" si="217"/>
        <v>99.937672969510359</v>
      </c>
    </row>
    <row r="425" spans="1:10" ht="38.25">
      <c r="A425" s="8" t="s">
        <v>864</v>
      </c>
      <c r="B425" s="1" t="s">
        <v>865</v>
      </c>
      <c r="C425" s="1" t="s">
        <v>0</v>
      </c>
      <c r="D425" s="9">
        <f>D426</f>
        <v>384193</v>
      </c>
      <c r="E425" s="9">
        <f>E426</f>
        <v>384193</v>
      </c>
      <c r="F425" s="9">
        <f t="shared" ref="F425:G426" si="226">F426</f>
        <v>311840.30421999999</v>
      </c>
      <c r="G425" s="9">
        <f t="shared" si="226"/>
        <v>311840.30421999999</v>
      </c>
      <c r="H425" s="9">
        <f>H426</f>
        <v>311840.30421999999</v>
      </c>
      <c r="I425" s="9">
        <f t="shared" si="216"/>
        <v>81.167617374600781</v>
      </c>
      <c r="J425" s="9">
        <f t="shared" si="217"/>
        <v>100</v>
      </c>
    </row>
    <row r="426" spans="1:10">
      <c r="A426" s="8" t="s">
        <v>68</v>
      </c>
      <c r="B426" s="1" t="s">
        <v>865</v>
      </c>
      <c r="C426" s="1" t="s">
        <v>69</v>
      </c>
      <c r="D426" s="9">
        <f>D427</f>
        <v>384193</v>
      </c>
      <c r="E426" s="9">
        <f>E427</f>
        <v>384193</v>
      </c>
      <c r="F426" s="9">
        <f t="shared" si="226"/>
        <v>311840.30421999999</v>
      </c>
      <c r="G426" s="9">
        <f t="shared" si="226"/>
        <v>311840.30421999999</v>
      </c>
      <c r="H426" s="9">
        <f>H427</f>
        <v>311840.30421999999</v>
      </c>
      <c r="I426" s="9">
        <f t="shared" si="216"/>
        <v>81.167617374600781</v>
      </c>
      <c r="J426" s="9">
        <f t="shared" si="217"/>
        <v>100</v>
      </c>
    </row>
    <row r="427" spans="1:10">
      <c r="A427" s="8" t="s">
        <v>463</v>
      </c>
      <c r="B427" s="1" t="s">
        <v>865</v>
      </c>
      <c r="C427" s="1" t="s">
        <v>464</v>
      </c>
      <c r="D427" s="9">
        <f>ведомство!G2154</f>
        <v>384193</v>
      </c>
      <c r="E427" s="9">
        <f>ведомство!H2154</f>
        <v>384193</v>
      </c>
      <c r="F427" s="9">
        <f>ведомство!I2154</f>
        <v>311840.30421999999</v>
      </c>
      <c r="G427" s="9">
        <f>ведомство!J2154</f>
        <v>311840.30421999999</v>
      </c>
      <c r="H427" s="9">
        <f>ведомство!K2154</f>
        <v>311840.30421999999</v>
      </c>
      <c r="I427" s="9">
        <f t="shared" si="216"/>
        <v>81.167617374600781</v>
      </c>
      <c r="J427" s="9">
        <f t="shared" si="217"/>
        <v>100</v>
      </c>
    </row>
    <row r="428" spans="1:10" ht="76.5">
      <c r="A428" s="8" t="s">
        <v>785</v>
      </c>
      <c r="B428" s="1" t="s">
        <v>786</v>
      </c>
      <c r="C428" s="1" t="s">
        <v>0</v>
      </c>
      <c r="D428" s="9">
        <f>D429</f>
        <v>7391.3</v>
      </c>
      <c r="E428" s="9">
        <f>E429</f>
        <v>7391.3</v>
      </c>
      <c r="F428" s="9">
        <f t="shared" ref="F428:G429" si="227">F429</f>
        <v>7391.3</v>
      </c>
      <c r="G428" s="9">
        <f t="shared" si="227"/>
        <v>7391.3</v>
      </c>
      <c r="H428" s="9">
        <f>H429</f>
        <v>7391.3</v>
      </c>
      <c r="I428" s="9">
        <f t="shared" si="216"/>
        <v>100</v>
      </c>
      <c r="J428" s="9">
        <f t="shared" si="217"/>
        <v>100</v>
      </c>
    </row>
    <row r="429" spans="1:10">
      <c r="A429" s="8" t="s">
        <v>68</v>
      </c>
      <c r="B429" s="1" t="s">
        <v>786</v>
      </c>
      <c r="C429" s="1" t="s">
        <v>69</v>
      </c>
      <c r="D429" s="9">
        <f>D430</f>
        <v>7391.3</v>
      </c>
      <c r="E429" s="9">
        <f>E430</f>
        <v>7391.3</v>
      </c>
      <c r="F429" s="9">
        <f t="shared" si="227"/>
        <v>7391.3</v>
      </c>
      <c r="G429" s="9">
        <f t="shared" si="227"/>
        <v>7391.3</v>
      </c>
      <c r="H429" s="9">
        <f>H430</f>
        <v>7391.3</v>
      </c>
      <c r="I429" s="9">
        <f t="shared" si="216"/>
        <v>100</v>
      </c>
      <c r="J429" s="9">
        <f t="shared" si="217"/>
        <v>100</v>
      </c>
    </row>
    <row r="430" spans="1:10" ht="25.5">
      <c r="A430" s="8" t="s">
        <v>151</v>
      </c>
      <c r="B430" s="1" t="s">
        <v>786</v>
      </c>
      <c r="C430" s="1" t="s">
        <v>152</v>
      </c>
      <c r="D430" s="9">
        <f>ведомство!G1966</f>
        <v>7391.3</v>
      </c>
      <c r="E430" s="9">
        <f>ведомство!H1966</f>
        <v>7391.3</v>
      </c>
      <c r="F430" s="9">
        <f>ведомство!I1966</f>
        <v>7391.3</v>
      </c>
      <c r="G430" s="9">
        <f>ведомство!J1966</f>
        <v>7391.3</v>
      </c>
      <c r="H430" s="9">
        <f>ведомство!K1966</f>
        <v>7391.3</v>
      </c>
      <c r="I430" s="9">
        <f t="shared" si="216"/>
        <v>100</v>
      </c>
      <c r="J430" s="9">
        <f t="shared" si="217"/>
        <v>100</v>
      </c>
    </row>
    <row r="431" spans="1:10" ht="51">
      <c r="A431" s="8" t="s">
        <v>787</v>
      </c>
      <c r="B431" s="1" t="s">
        <v>788</v>
      </c>
      <c r="C431" s="1" t="s">
        <v>0</v>
      </c>
      <c r="D431" s="9">
        <f>D432</f>
        <v>33087.199999999997</v>
      </c>
      <c r="E431" s="9">
        <f>E432</f>
        <v>33087.199999999997</v>
      </c>
      <c r="F431" s="9">
        <f t="shared" ref="F431:G432" si="228">F432</f>
        <v>14642.046</v>
      </c>
      <c r="G431" s="9">
        <f t="shared" si="228"/>
        <v>14642.046</v>
      </c>
      <c r="H431" s="9">
        <f>H432</f>
        <v>14642.046</v>
      </c>
      <c r="I431" s="9">
        <f t="shared" si="216"/>
        <v>44.252901424115677</v>
      </c>
      <c r="J431" s="9">
        <f t="shared" si="217"/>
        <v>100</v>
      </c>
    </row>
    <row r="432" spans="1:10">
      <c r="A432" s="8" t="s">
        <v>68</v>
      </c>
      <c r="B432" s="1" t="s">
        <v>788</v>
      </c>
      <c r="C432" s="1" t="s">
        <v>69</v>
      </c>
      <c r="D432" s="9">
        <f>D433</f>
        <v>33087.199999999997</v>
      </c>
      <c r="E432" s="9">
        <f>E433</f>
        <v>33087.199999999997</v>
      </c>
      <c r="F432" s="9">
        <f t="shared" si="228"/>
        <v>14642.046</v>
      </c>
      <c r="G432" s="9">
        <f t="shared" si="228"/>
        <v>14642.046</v>
      </c>
      <c r="H432" s="9">
        <f>H433</f>
        <v>14642.046</v>
      </c>
      <c r="I432" s="9">
        <f t="shared" si="216"/>
        <v>44.252901424115677</v>
      </c>
      <c r="J432" s="9">
        <f t="shared" si="217"/>
        <v>100</v>
      </c>
    </row>
    <row r="433" spans="1:10" ht="25.5">
      <c r="A433" s="8" t="s">
        <v>151</v>
      </c>
      <c r="B433" s="1" t="s">
        <v>788</v>
      </c>
      <c r="C433" s="1" t="s">
        <v>152</v>
      </c>
      <c r="D433" s="9">
        <f>ведомство!G1969</f>
        <v>33087.199999999997</v>
      </c>
      <c r="E433" s="9">
        <f>ведомство!H1969</f>
        <v>33087.199999999997</v>
      </c>
      <c r="F433" s="9">
        <f>ведомство!I1969</f>
        <v>14642.046</v>
      </c>
      <c r="G433" s="9">
        <f>ведомство!J1969</f>
        <v>14642.046</v>
      </c>
      <c r="H433" s="9">
        <f>ведомство!K1969</f>
        <v>14642.046</v>
      </c>
      <c r="I433" s="9">
        <f t="shared" si="216"/>
        <v>44.252901424115677</v>
      </c>
      <c r="J433" s="9">
        <f t="shared" si="217"/>
        <v>100</v>
      </c>
    </row>
    <row r="434" spans="1:10" ht="38.25">
      <c r="A434" s="8" t="s">
        <v>789</v>
      </c>
      <c r="B434" s="1" t="s">
        <v>790</v>
      </c>
      <c r="C434" s="1" t="s">
        <v>0</v>
      </c>
      <c r="D434" s="9">
        <f>D435+D437</f>
        <v>8799.1999999999989</v>
      </c>
      <c r="E434" s="9">
        <f>E435+E437</f>
        <v>8799.1999999999989</v>
      </c>
      <c r="F434" s="9">
        <f t="shared" ref="F434:G434" si="229">F435+F437</f>
        <v>6290.9633100000001</v>
      </c>
      <c r="G434" s="9">
        <f t="shared" si="229"/>
        <v>6290.9633100000001</v>
      </c>
      <c r="H434" s="9">
        <f>H435+H437</f>
        <v>6290.9633100000001</v>
      </c>
      <c r="I434" s="9">
        <f t="shared" si="216"/>
        <v>71.494718951722888</v>
      </c>
      <c r="J434" s="9">
        <f t="shared" si="217"/>
        <v>100</v>
      </c>
    </row>
    <row r="435" spans="1:10" ht="25.5">
      <c r="A435" s="8" t="s">
        <v>64</v>
      </c>
      <c r="B435" s="1" t="s">
        <v>790</v>
      </c>
      <c r="C435" s="1" t="s">
        <v>65</v>
      </c>
      <c r="D435" s="9">
        <f>D436</f>
        <v>0.3</v>
      </c>
      <c r="E435" s="9">
        <f>E436</f>
        <v>0.49</v>
      </c>
      <c r="F435" s="9">
        <f t="shared" ref="F435:G435" si="230">F436</f>
        <v>0.44955000000000001</v>
      </c>
      <c r="G435" s="9">
        <f t="shared" si="230"/>
        <v>0.44955000000000001</v>
      </c>
      <c r="H435" s="9">
        <f>H436</f>
        <v>0.44955000000000001</v>
      </c>
      <c r="I435" s="9">
        <f t="shared" si="216"/>
        <v>91.744897959183675</v>
      </c>
      <c r="J435" s="9">
        <f t="shared" si="217"/>
        <v>100</v>
      </c>
    </row>
    <row r="436" spans="1:10" ht="25.5">
      <c r="A436" s="8" t="s">
        <v>66</v>
      </c>
      <c r="B436" s="1" t="s">
        <v>790</v>
      </c>
      <c r="C436" s="1" t="s">
        <v>67</v>
      </c>
      <c r="D436" s="9">
        <f>ведомство!G1972</f>
        <v>0.3</v>
      </c>
      <c r="E436" s="9">
        <f>ведомство!H1972</f>
        <v>0.49</v>
      </c>
      <c r="F436" s="9">
        <f>ведомство!I1972</f>
        <v>0.44955000000000001</v>
      </c>
      <c r="G436" s="9">
        <f>ведомство!J1972</f>
        <v>0.44955000000000001</v>
      </c>
      <c r="H436" s="9">
        <f>ведомство!K1972</f>
        <v>0.44955000000000001</v>
      </c>
      <c r="I436" s="9">
        <f t="shared" si="216"/>
        <v>91.744897959183675</v>
      </c>
      <c r="J436" s="9">
        <f t="shared" si="217"/>
        <v>100</v>
      </c>
    </row>
    <row r="437" spans="1:10">
      <c r="A437" s="8" t="s">
        <v>68</v>
      </c>
      <c r="B437" s="1" t="s">
        <v>790</v>
      </c>
      <c r="C437" s="1" t="s">
        <v>69</v>
      </c>
      <c r="D437" s="9">
        <f>D438</f>
        <v>8798.9</v>
      </c>
      <c r="E437" s="9">
        <f>E438</f>
        <v>8798.7099999999991</v>
      </c>
      <c r="F437" s="9">
        <f t="shared" ref="F437:G437" si="231">F438</f>
        <v>6290.5137599999998</v>
      </c>
      <c r="G437" s="9">
        <f t="shared" si="231"/>
        <v>6290.5137599999998</v>
      </c>
      <c r="H437" s="9">
        <f>H438</f>
        <v>6290.5137599999998</v>
      </c>
      <c r="I437" s="9">
        <f t="shared" si="216"/>
        <v>71.493591219621976</v>
      </c>
      <c r="J437" s="9">
        <f t="shared" si="217"/>
        <v>100</v>
      </c>
    </row>
    <row r="438" spans="1:10">
      <c r="A438" s="8" t="s">
        <v>463</v>
      </c>
      <c r="B438" s="1" t="s">
        <v>790</v>
      </c>
      <c r="C438" s="1" t="s">
        <v>464</v>
      </c>
      <c r="D438" s="9">
        <f>ведомство!G1974</f>
        <v>8798.9</v>
      </c>
      <c r="E438" s="9">
        <f>ведомство!H1974</f>
        <v>8798.7099999999991</v>
      </c>
      <c r="F438" s="9">
        <f>ведомство!I1974</f>
        <v>6290.5137599999998</v>
      </c>
      <c r="G438" s="9">
        <f>ведомство!J1974</f>
        <v>6290.5137599999998</v>
      </c>
      <c r="H438" s="9">
        <f>ведомство!K1974</f>
        <v>6290.5137599999998</v>
      </c>
      <c r="I438" s="9">
        <f t="shared" si="216"/>
        <v>71.493591219621976</v>
      </c>
      <c r="J438" s="9">
        <f t="shared" si="217"/>
        <v>100</v>
      </c>
    </row>
    <row r="439" spans="1:10">
      <c r="A439" s="8" t="s">
        <v>791</v>
      </c>
      <c r="B439" s="1" t="s">
        <v>792</v>
      </c>
      <c r="C439" s="1" t="s">
        <v>0</v>
      </c>
      <c r="D439" s="9">
        <f>D440+D442</f>
        <v>732018.2</v>
      </c>
      <c r="E439" s="9">
        <f>E440+E442</f>
        <v>732018.22399999993</v>
      </c>
      <c r="F439" s="9">
        <f t="shared" ref="F439:G439" si="232">F440+F442</f>
        <v>494112.21494999999</v>
      </c>
      <c r="G439" s="9">
        <f t="shared" si="232"/>
        <v>494112.21494999999</v>
      </c>
      <c r="H439" s="9">
        <f>H440+H442</f>
        <v>494112.21494999999</v>
      </c>
      <c r="I439" s="9">
        <f t="shared" si="216"/>
        <v>67.499988217506456</v>
      </c>
      <c r="J439" s="9">
        <f t="shared" si="217"/>
        <v>100</v>
      </c>
    </row>
    <row r="440" spans="1:10" ht="25.5">
      <c r="A440" s="8" t="s">
        <v>64</v>
      </c>
      <c r="B440" s="1" t="s">
        <v>792</v>
      </c>
      <c r="C440" s="1" t="s">
        <v>65</v>
      </c>
      <c r="D440" s="9">
        <f>D441</f>
        <v>9769.5</v>
      </c>
      <c r="E440" s="9">
        <f>E441</f>
        <v>9769.4746799999994</v>
      </c>
      <c r="F440" s="9">
        <f t="shared" ref="F440:G440" si="233">F441</f>
        <v>7617.1803799999998</v>
      </c>
      <c r="G440" s="9">
        <f t="shared" si="233"/>
        <v>7617.1803799999998</v>
      </c>
      <c r="H440" s="9">
        <f>H441</f>
        <v>7617.1803799999998</v>
      </c>
      <c r="I440" s="9">
        <f t="shared" si="216"/>
        <v>77.969191072206144</v>
      </c>
      <c r="J440" s="9">
        <f t="shared" si="217"/>
        <v>100</v>
      </c>
    </row>
    <row r="441" spans="1:10" ht="25.5">
      <c r="A441" s="8" t="s">
        <v>66</v>
      </c>
      <c r="B441" s="1" t="s">
        <v>792</v>
      </c>
      <c r="C441" s="1" t="s">
        <v>67</v>
      </c>
      <c r="D441" s="9">
        <f>ведомство!G1977</f>
        <v>9769.5</v>
      </c>
      <c r="E441" s="9">
        <f>ведомство!H1977</f>
        <v>9769.4746799999994</v>
      </c>
      <c r="F441" s="9">
        <f>ведомство!I1977</f>
        <v>7617.1803799999998</v>
      </c>
      <c r="G441" s="9">
        <f>ведомство!J1977</f>
        <v>7617.1803799999998</v>
      </c>
      <c r="H441" s="9">
        <f>ведомство!K1977</f>
        <v>7617.1803799999998</v>
      </c>
      <c r="I441" s="9">
        <f t="shared" si="216"/>
        <v>77.969191072206144</v>
      </c>
      <c r="J441" s="9">
        <f t="shared" si="217"/>
        <v>100</v>
      </c>
    </row>
    <row r="442" spans="1:10">
      <c r="A442" s="8" t="s">
        <v>68</v>
      </c>
      <c r="B442" s="1" t="s">
        <v>792</v>
      </c>
      <c r="C442" s="1" t="s">
        <v>69</v>
      </c>
      <c r="D442" s="9">
        <f>D443</f>
        <v>722248.7</v>
      </c>
      <c r="E442" s="9">
        <f>E443</f>
        <v>722248.74931999994</v>
      </c>
      <c r="F442" s="9">
        <f t="shared" ref="F442:G442" si="234">F443</f>
        <v>486495.03457000002</v>
      </c>
      <c r="G442" s="9">
        <f t="shared" si="234"/>
        <v>486495.03457000002</v>
      </c>
      <c r="H442" s="9">
        <f>H443</f>
        <v>486495.03457000002</v>
      </c>
      <c r="I442" s="9">
        <f t="shared" si="216"/>
        <v>67.358376878885153</v>
      </c>
      <c r="J442" s="9">
        <f t="shared" si="217"/>
        <v>100</v>
      </c>
    </row>
    <row r="443" spans="1:10" ht="25.5">
      <c r="A443" s="8" t="s">
        <v>151</v>
      </c>
      <c r="B443" s="1" t="s">
        <v>792</v>
      </c>
      <c r="C443" s="1" t="s">
        <v>152</v>
      </c>
      <c r="D443" s="9">
        <f>ведомство!G1979</f>
        <v>722248.7</v>
      </c>
      <c r="E443" s="9">
        <f>ведомство!H1979</f>
        <v>722248.74931999994</v>
      </c>
      <c r="F443" s="9">
        <f>ведомство!I1979</f>
        <v>486495.03457000002</v>
      </c>
      <c r="G443" s="9">
        <f>ведомство!J1979</f>
        <v>486495.03457000002</v>
      </c>
      <c r="H443" s="9">
        <f>ведомство!K1979</f>
        <v>486495.03457000002</v>
      </c>
      <c r="I443" s="9">
        <f t="shared" si="216"/>
        <v>67.358376878885153</v>
      </c>
      <c r="J443" s="9">
        <f t="shared" si="217"/>
        <v>100</v>
      </c>
    </row>
    <row r="444" spans="1:10" ht="38.25">
      <c r="A444" s="8" t="s">
        <v>793</v>
      </c>
      <c r="B444" s="1" t="s">
        <v>794</v>
      </c>
      <c r="C444" s="1" t="s">
        <v>0</v>
      </c>
      <c r="D444" s="9">
        <f>D445+D447</f>
        <v>105784.5</v>
      </c>
      <c r="E444" s="9">
        <f>E445+E447</f>
        <v>106402.33600000001</v>
      </c>
      <c r="F444" s="9">
        <f t="shared" ref="F444:G444" si="235">F445+F447</f>
        <v>106402.33521</v>
      </c>
      <c r="G444" s="9">
        <f t="shared" si="235"/>
        <v>106402.33521</v>
      </c>
      <c r="H444" s="9">
        <f>H445+H447</f>
        <v>106402.33521</v>
      </c>
      <c r="I444" s="9">
        <f t="shared" si="216"/>
        <v>99.999999257535094</v>
      </c>
      <c r="J444" s="9">
        <f t="shared" si="217"/>
        <v>100</v>
      </c>
    </row>
    <row r="445" spans="1:10" ht="25.5">
      <c r="A445" s="8" t="s">
        <v>64</v>
      </c>
      <c r="B445" s="1" t="s">
        <v>794</v>
      </c>
      <c r="C445" s="1" t="s">
        <v>65</v>
      </c>
      <c r="D445" s="9">
        <f>D446</f>
        <v>1350.9</v>
      </c>
      <c r="E445" s="9">
        <f>E446</f>
        <v>1357.0244700000001</v>
      </c>
      <c r="F445" s="9">
        <f t="shared" ref="F445:G445" si="236">F446</f>
        <v>1357.0244700000001</v>
      </c>
      <c r="G445" s="9">
        <f t="shared" si="236"/>
        <v>1357.0244700000001</v>
      </c>
      <c r="H445" s="9">
        <f>H446</f>
        <v>1357.0244700000001</v>
      </c>
      <c r="I445" s="9">
        <f t="shared" si="216"/>
        <v>100</v>
      </c>
      <c r="J445" s="9">
        <f t="shared" si="217"/>
        <v>100</v>
      </c>
    </row>
    <row r="446" spans="1:10" ht="25.5">
      <c r="A446" s="8" t="s">
        <v>66</v>
      </c>
      <c r="B446" s="1" t="s">
        <v>794</v>
      </c>
      <c r="C446" s="1" t="s">
        <v>67</v>
      </c>
      <c r="D446" s="9">
        <f>ведомство!G1982</f>
        <v>1350.9</v>
      </c>
      <c r="E446" s="9">
        <f>ведомство!H1982</f>
        <v>1357.0244700000001</v>
      </c>
      <c r="F446" s="9">
        <f>ведомство!I1982</f>
        <v>1357.0244700000001</v>
      </c>
      <c r="G446" s="9">
        <f>ведомство!J1982</f>
        <v>1357.0244700000001</v>
      </c>
      <c r="H446" s="9">
        <f>ведомство!K1982</f>
        <v>1357.0244700000001</v>
      </c>
      <c r="I446" s="9">
        <f t="shared" si="216"/>
        <v>100</v>
      </c>
      <c r="J446" s="9">
        <f t="shared" si="217"/>
        <v>100</v>
      </c>
    </row>
    <row r="447" spans="1:10">
      <c r="A447" s="8" t="s">
        <v>68</v>
      </c>
      <c r="B447" s="1" t="s">
        <v>794</v>
      </c>
      <c r="C447" s="1" t="s">
        <v>69</v>
      </c>
      <c r="D447" s="9">
        <f>D448</f>
        <v>104433.60000000001</v>
      </c>
      <c r="E447" s="9">
        <f>E448</f>
        <v>105045.31153000001</v>
      </c>
      <c r="F447" s="9">
        <f t="shared" ref="F447:G447" si="237">F448</f>
        <v>105045.31074</v>
      </c>
      <c r="G447" s="9">
        <f t="shared" si="237"/>
        <v>105045.31074</v>
      </c>
      <c r="H447" s="9">
        <f>H448</f>
        <v>105045.31074</v>
      </c>
      <c r="I447" s="9">
        <f t="shared" si="216"/>
        <v>99.999999247943578</v>
      </c>
      <c r="J447" s="9">
        <f t="shared" si="217"/>
        <v>100</v>
      </c>
    </row>
    <row r="448" spans="1:10">
      <c r="A448" s="8" t="s">
        <v>463</v>
      </c>
      <c r="B448" s="1" t="s">
        <v>794</v>
      </c>
      <c r="C448" s="1" t="s">
        <v>464</v>
      </c>
      <c r="D448" s="9">
        <f>ведомство!G1984</f>
        <v>104433.60000000001</v>
      </c>
      <c r="E448" s="9">
        <f>ведомство!H1984</f>
        <v>105045.31153000001</v>
      </c>
      <c r="F448" s="9">
        <f>ведомство!I1984</f>
        <v>105045.31074</v>
      </c>
      <c r="G448" s="9">
        <f>ведомство!J1984</f>
        <v>105045.31074</v>
      </c>
      <c r="H448" s="9">
        <f>ведомство!K1984</f>
        <v>105045.31074</v>
      </c>
      <c r="I448" s="9">
        <f t="shared" si="216"/>
        <v>99.999999247943578</v>
      </c>
      <c r="J448" s="9">
        <f t="shared" si="217"/>
        <v>100</v>
      </c>
    </row>
    <row r="449" spans="1:10" ht="63.75">
      <c r="A449" s="8" t="s">
        <v>795</v>
      </c>
      <c r="B449" s="1" t="s">
        <v>796</v>
      </c>
      <c r="C449" s="1" t="s">
        <v>0</v>
      </c>
      <c r="D449" s="9">
        <f>D450+D452</f>
        <v>77.400000000000006</v>
      </c>
      <c r="E449" s="9">
        <f>E450+E452</f>
        <v>77.400000000000006</v>
      </c>
      <c r="F449" s="9">
        <f t="shared" ref="F449:G449" si="238">F450+F452</f>
        <v>20.294550000000001</v>
      </c>
      <c r="G449" s="9">
        <f t="shared" si="238"/>
        <v>20.294550000000001</v>
      </c>
      <c r="H449" s="9">
        <f>H450+H452</f>
        <v>20.294550000000001</v>
      </c>
      <c r="I449" s="9">
        <f t="shared" si="216"/>
        <v>26.220348837209301</v>
      </c>
      <c r="J449" s="9">
        <f t="shared" si="217"/>
        <v>100</v>
      </c>
    </row>
    <row r="450" spans="1:10" ht="25.5">
      <c r="A450" s="8" t="s">
        <v>64</v>
      </c>
      <c r="B450" s="1" t="s">
        <v>796</v>
      </c>
      <c r="C450" s="1" t="s">
        <v>65</v>
      </c>
      <c r="D450" s="9">
        <f>D451</f>
        <v>0.2</v>
      </c>
      <c r="E450" s="9">
        <f>E451</f>
        <v>0.23604</v>
      </c>
      <c r="F450" s="9">
        <f t="shared" ref="F450:G450" si="239">F451</f>
        <v>0.20097000000000001</v>
      </c>
      <c r="G450" s="9">
        <f t="shared" si="239"/>
        <v>0.20097000000000001</v>
      </c>
      <c r="H450" s="9">
        <f>H451</f>
        <v>0.20097000000000001</v>
      </c>
      <c r="I450" s="9">
        <f t="shared" si="216"/>
        <v>85.142348754448406</v>
      </c>
      <c r="J450" s="9">
        <f t="shared" si="217"/>
        <v>100</v>
      </c>
    </row>
    <row r="451" spans="1:10" ht="25.5">
      <c r="A451" s="8" t="s">
        <v>66</v>
      </c>
      <c r="B451" s="1" t="s">
        <v>796</v>
      </c>
      <c r="C451" s="1" t="s">
        <v>67</v>
      </c>
      <c r="D451" s="9">
        <f>ведомство!G1987</f>
        <v>0.2</v>
      </c>
      <c r="E451" s="9">
        <f>ведомство!H1987</f>
        <v>0.23604</v>
      </c>
      <c r="F451" s="9">
        <f>ведомство!I1987</f>
        <v>0.20097000000000001</v>
      </c>
      <c r="G451" s="9">
        <f>ведомство!J1987</f>
        <v>0.20097000000000001</v>
      </c>
      <c r="H451" s="9">
        <f>ведомство!K1987</f>
        <v>0.20097000000000001</v>
      </c>
      <c r="I451" s="9">
        <f t="shared" si="216"/>
        <v>85.142348754448406</v>
      </c>
      <c r="J451" s="9">
        <f t="shared" si="217"/>
        <v>100</v>
      </c>
    </row>
    <row r="452" spans="1:10">
      <c r="A452" s="8" t="s">
        <v>68</v>
      </c>
      <c r="B452" s="1" t="s">
        <v>796</v>
      </c>
      <c r="C452" s="1" t="s">
        <v>69</v>
      </c>
      <c r="D452" s="9">
        <f>D453</f>
        <v>77.2</v>
      </c>
      <c r="E452" s="9">
        <f>E453</f>
        <v>77.163960000000003</v>
      </c>
      <c r="F452" s="9">
        <f t="shared" ref="F452:G452" si="240">F453</f>
        <v>20.093579999999999</v>
      </c>
      <c r="G452" s="9">
        <f t="shared" si="240"/>
        <v>20.093579999999999</v>
      </c>
      <c r="H452" s="9">
        <f>H453</f>
        <v>20.093579999999999</v>
      </c>
      <c r="I452" s="9">
        <f t="shared" si="216"/>
        <v>26.040109916598368</v>
      </c>
      <c r="J452" s="9">
        <f t="shared" si="217"/>
        <v>100</v>
      </c>
    </row>
    <row r="453" spans="1:10">
      <c r="A453" s="8" t="s">
        <v>463</v>
      </c>
      <c r="B453" s="1" t="s">
        <v>796</v>
      </c>
      <c r="C453" s="1" t="s">
        <v>464</v>
      </c>
      <c r="D453" s="9">
        <f>ведомство!G1989</f>
        <v>77.2</v>
      </c>
      <c r="E453" s="9">
        <f>ведомство!H1989</f>
        <v>77.163960000000003</v>
      </c>
      <c r="F453" s="9">
        <f>ведомство!I1989</f>
        <v>20.093579999999999</v>
      </c>
      <c r="G453" s="9">
        <f>ведомство!J1989</f>
        <v>20.093579999999999</v>
      </c>
      <c r="H453" s="9">
        <f>ведомство!K1989</f>
        <v>20.093579999999999</v>
      </c>
      <c r="I453" s="9">
        <f t="shared" si="216"/>
        <v>26.040109916598368</v>
      </c>
      <c r="J453" s="9">
        <f t="shared" si="217"/>
        <v>100</v>
      </c>
    </row>
    <row r="454" spans="1:10" ht="25.5">
      <c r="A454" s="8" t="s">
        <v>797</v>
      </c>
      <c r="B454" s="1" t="s">
        <v>798</v>
      </c>
      <c r="C454" s="1" t="s">
        <v>0</v>
      </c>
      <c r="D454" s="9">
        <f>D455+D457</f>
        <v>880598.6</v>
      </c>
      <c r="E454" s="9">
        <f>E455+E457</f>
        <v>880598.6</v>
      </c>
      <c r="F454" s="9">
        <f t="shared" ref="F454:G454" si="241">F455+F457</f>
        <v>741091.62571000005</v>
      </c>
      <c r="G454" s="9">
        <f t="shared" si="241"/>
        <v>741091.62571000005</v>
      </c>
      <c r="H454" s="9">
        <f>H455+H457</f>
        <v>741091.62571000005</v>
      </c>
      <c r="I454" s="9">
        <f t="shared" si="216"/>
        <v>84.15771109674715</v>
      </c>
      <c r="J454" s="9">
        <f t="shared" si="217"/>
        <v>100</v>
      </c>
    </row>
    <row r="455" spans="1:10" ht="25.5">
      <c r="A455" s="8" t="s">
        <v>64</v>
      </c>
      <c r="B455" s="1" t="s">
        <v>798</v>
      </c>
      <c r="C455" s="1" t="s">
        <v>65</v>
      </c>
      <c r="D455" s="9">
        <f>D456</f>
        <v>14500</v>
      </c>
      <c r="E455" s="9">
        <f>E456</f>
        <v>14500</v>
      </c>
      <c r="F455" s="9">
        <f t="shared" ref="F455:G455" si="242">F456</f>
        <v>10518.41627</v>
      </c>
      <c r="G455" s="9">
        <f t="shared" si="242"/>
        <v>10518.41627</v>
      </c>
      <c r="H455" s="9">
        <f>H456</f>
        <v>10518.41627</v>
      </c>
      <c r="I455" s="9">
        <f t="shared" si="216"/>
        <v>72.54080186206896</v>
      </c>
      <c r="J455" s="9">
        <f t="shared" si="217"/>
        <v>100</v>
      </c>
    </row>
    <row r="456" spans="1:10" ht="25.5">
      <c r="A456" s="8" t="s">
        <v>66</v>
      </c>
      <c r="B456" s="1" t="s">
        <v>798</v>
      </c>
      <c r="C456" s="1" t="s">
        <v>67</v>
      </c>
      <c r="D456" s="9">
        <f>ведомство!G1992</f>
        <v>14500</v>
      </c>
      <c r="E456" s="9">
        <f>ведомство!H1992</f>
        <v>14500</v>
      </c>
      <c r="F456" s="9">
        <f>ведомство!I1992</f>
        <v>10518.41627</v>
      </c>
      <c r="G456" s="9">
        <f>ведомство!J1992</f>
        <v>10518.41627</v>
      </c>
      <c r="H456" s="9">
        <f>ведомство!K1992</f>
        <v>10518.41627</v>
      </c>
      <c r="I456" s="9">
        <f t="shared" si="216"/>
        <v>72.54080186206896</v>
      </c>
      <c r="J456" s="9">
        <f t="shared" si="217"/>
        <v>100</v>
      </c>
    </row>
    <row r="457" spans="1:10">
      <c r="A457" s="8" t="s">
        <v>68</v>
      </c>
      <c r="B457" s="1" t="s">
        <v>798</v>
      </c>
      <c r="C457" s="1" t="s">
        <v>69</v>
      </c>
      <c r="D457" s="9">
        <f>D458</f>
        <v>866098.6</v>
      </c>
      <c r="E457" s="9">
        <f>E458</f>
        <v>866098.6</v>
      </c>
      <c r="F457" s="9">
        <f t="shared" ref="F457:G457" si="243">F458</f>
        <v>730573.20944000001</v>
      </c>
      <c r="G457" s="9">
        <f t="shared" si="243"/>
        <v>730573.20944000001</v>
      </c>
      <c r="H457" s="9">
        <f>H458</f>
        <v>730573.20944000001</v>
      </c>
      <c r="I457" s="9">
        <f t="shared" si="216"/>
        <v>84.352198403276489</v>
      </c>
      <c r="J457" s="9">
        <f t="shared" si="217"/>
        <v>100</v>
      </c>
    </row>
    <row r="458" spans="1:10" ht="25.5">
      <c r="A458" s="8" t="s">
        <v>151</v>
      </c>
      <c r="B458" s="1" t="s">
        <v>798</v>
      </c>
      <c r="C458" s="1" t="s">
        <v>152</v>
      </c>
      <c r="D458" s="9">
        <f>ведомство!G1994</f>
        <v>866098.6</v>
      </c>
      <c r="E458" s="9">
        <f>ведомство!H1994</f>
        <v>866098.6</v>
      </c>
      <c r="F458" s="9">
        <f>ведомство!I1994</f>
        <v>730573.20944000001</v>
      </c>
      <c r="G458" s="9">
        <f>ведомство!J1994</f>
        <v>730573.20944000001</v>
      </c>
      <c r="H458" s="9">
        <f>ведомство!K1994</f>
        <v>730573.20944000001</v>
      </c>
      <c r="I458" s="9">
        <f t="shared" si="216"/>
        <v>84.352198403276489</v>
      </c>
      <c r="J458" s="9">
        <f t="shared" si="217"/>
        <v>100</v>
      </c>
    </row>
    <row r="459" spans="1:10" ht="76.5">
      <c r="A459" s="8" t="s">
        <v>866</v>
      </c>
      <c r="B459" s="1" t="s">
        <v>867</v>
      </c>
      <c r="C459" s="1" t="s">
        <v>0</v>
      </c>
      <c r="D459" s="9">
        <f>D460+D462</f>
        <v>14746.199999999999</v>
      </c>
      <c r="E459" s="9">
        <f>E460+E462</f>
        <v>14746.199999999999</v>
      </c>
      <c r="F459" s="9">
        <f t="shared" ref="F459:G459" si="244">F460+F462</f>
        <v>6948.6796100000001</v>
      </c>
      <c r="G459" s="9">
        <f t="shared" si="244"/>
        <v>6948.6796100000001</v>
      </c>
      <c r="H459" s="9">
        <f>H460+H462</f>
        <v>6948.6796100000001</v>
      </c>
      <c r="I459" s="9">
        <f t="shared" si="216"/>
        <v>47.121832133024107</v>
      </c>
      <c r="J459" s="9">
        <f t="shared" si="217"/>
        <v>100</v>
      </c>
    </row>
    <row r="460" spans="1:10" ht="25.5">
      <c r="A460" s="8" t="s">
        <v>64</v>
      </c>
      <c r="B460" s="1" t="s">
        <v>867</v>
      </c>
      <c r="C460" s="1" t="s">
        <v>65</v>
      </c>
      <c r="D460" s="9">
        <f>D461</f>
        <v>10.9</v>
      </c>
      <c r="E460" s="9">
        <f>E461</f>
        <v>10.9</v>
      </c>
      <c r="F460" s="9">
        <f t="shared" ref="F460:G460" si="245">F461</f>
        <v>2.32064</v>
      </c>
      <c r="G460" s="9">
        <f t="shared" si="245"/>
        <v>2.32064</v>
      </c>
      <c r="H460" s="9">
        <f>H461</f>
        <v>2.32064</v>
      </c>
      <c r="I460" s="9">
        <f t="shared" si="216"/>
        <v>21.290275229357796</v>
      </c>
      <c r="J460" s="9">
        <f t="shared" si="217"/>
        <v>100</v>
      </c>
    </row>
    <row r="461" spans="1:10" ht="25.5">
      <c r="A461" s="8" t="s">
        <v>66</v>
      </c>
      <c r="B461" s="1" t="s">
        <v>867</v>
      </c>
      <c r="C461" s="1" t="s">
        <v>67</v>
      </c>
      <c r="D461" s="9">
        <f>ведомство!G2157</f>
        <v>10.9</v>
      </c>
      <c r="E461" s="9">
        <f>ведомство!H2157</f>
        <v>10.9</v>
      </c>
      <c r="F461" s="9">
        <f>ведомство!I2157</f>
        <v>2.32064</v>
      </c>
      <c r="G461" s="9">
        <f>ведомство!J2157</f>
        <v>2.32064</v>
      </c>
      <c r="H461" s="9">
        <f>ведомство!K2157</f>
        <v>2.32064</v>
      </c>
      <c r="I461" s="9">
        <f t="shared" si="216"/>
        <v>21.290275229357796</v>
      </c>
      <c r="J461" s="9">
        <f t="shared" si="217"/>
        <v>100</v>
      </c>
    </row>
    <row r="462" spans="1:10">
      <c r="A462" s="8" t="s">
        <v>68</v>
      </c>
      <c r="B462" s="1" t="s">
        <v>867</v>
      </c>
      <c r="C462" s="1" t="s">
        <v>69</v>
      </c>
      <c r="D462" s="9">
        <f>D463</f>
        <v>14735.3</v>
      </c>
      <c r="E462" s="9">
        <f>E463</f>
        <v>14735.3</v>
      </c>
      <c r="F462" s="9">
        <f t="shared" ref="F462:G462" si="246">F463</f>
        <v>6946.3589700000002</v>
      </c>
      <c r="G462" s="9">
        <f t="shared" si="246"/>
        <v>6946.3589700000002</v>
      </c>
      <c r="H462" s="9">
        <f>H463</f>
        <v>6946.3589700000002</v>
      </c>
      <c r="I462" s="9">
        <f t="shared" si="216"/>
        <v>47.14094025910569</v>
      </c>
      <c r="J462" s="9">
        <f t="shared" si="217"/>
        <v>100</v>
      </c>
    </row>
    <row r="463" spans="1:10">
      <c r="A463" s="8" t="s">
        <v>463</v>
      </c>
      <c r="B463" s="1" t="s">
        <v>867</v>
      </c>
      <c r="C463" s="1" t="s">
        <v>464</v>
      </c>
      <c r="D463" s="9">
        <f>ведомство!G2159</f>
        <v>14735.3</v>
      </c>
      <c r="E463" s="9">
        <f>ведомство!H2159</f>
        <v>14735.3</v>
      </c>
      <c r="F463" s="9">
        <f>ведомство!I2159</f>
        <v>6946.3589700000002</v>
      </c>
      <c r="G463" s="9">
        <f>ведомство!J2159</f>
        <v>6946.3589700000002</v>
      </c>
      <c r="H463" s="9">
        <f>ведомство!K2159</f>
        <v>6946.3589700000002</v>
      </c>
      <c r="I463" s="9">
        <f t="shared" si="216"/>
        <v>47.14094025910569</v>
      </c>
      <c r="J463" s="9">
        <f t="shared" si="217"/>
        <v>100</v>
      </c>
    </row>
    <row r="464" spans="1:10" ht="76.5">
      <c r="A464" s="8" t="s">
        <v>799</v>
      </c>
      <c r="B464" s="1" t="s">
        <v>800</v>
      </c>
      <c r="C464" s="1" t="s">
        <v>0</v>
      </c>
      <c r="D464" s="9">
        <f>D465+D467</f>
        <v>180.9</v>
      </c>
      <c r="E464" s="9">
        <f>E465+E467</f>
        <v>180.89999999999998</v>
      </c>
      <c r="F464" s="9">
        <f t="shared" ref="F464:G464" si="247">F465+F467</f>
        <v>180.89765</v>
      </c>
      <c r="G464" s="9">
        <f t="shared" si="247"/>
        <v>180.89765</v>
      </c>
      <c r="H464" s="9">
        <f>H465+H467</f>
        <v>180.89765</v>
      </c>
      <c r="I464" s="9">
        <f t="shared" si="216"/>
        <v>99.998700939745731</v>
      </c>
      <c r="J464" s="9">
        <f t="shared" si="217"/>
        <v>100</v>
      </c>
    </row>
    <row r="465" spans="1:10" ht="25.5">
      <c r="A465" s="8" t="s">
        <v>64</v>
      </c>
      <c r="B465" s="1" t="s">
        <v>800</v>
      </c>
      <c r="C465" s="1" t="s">
        <v>65</v>
      </c>
      <c r="D465" s="9">
        <f>D466</f>
        <v>5.3</v>
      </c>
      <c r="E465" s="9">
        <f>E466</f>
        <v>1.325</v>
      </c>
      <c r="F465" s="9">
        <f t="shared" ref="F465:G465" si="248">F466</f>
        <v>1.32362</v>
      </c>
      <c r="G465" s="9">
        <f t="shared" si="248"/>
        <v>1.32362</v>
      </c>
      <c r="H465" s="9">
        <f>H466</f>
        <v>1.32362</v>
      </c>
      <c r="I465" s="9">
        <f t="shared" si="216"/>
        <v>99.89584905660378</v>
      </c>
      <c r="J465" s="9">
        <f t="shared" si="217"/>
        <v>100</v>
      </c>
    </row>
    <row r="466" spans="1:10" ht="25.5">
      <c r="A466" s="8" t="s">
        <v>66</v>
      </c>
      <c r="B466" s="1" t="s">
        <v>800</v>
      </c>
      <c r="C466" s="1" t="s">
        <v>67</v>
      </c>
      <c r="D466" s="9">
        <f>ведомство!G1997</f>
        <v>5.3</v>
      </c>
      <c r="E466" s="9">
        <f>ведомство!H1997</f>
        <v>1.325</v>
      </c>
      <c r="F466" s="9">
        <f>ведомство!I1997</f>
        <v>1.32362</v>
      </c>
      <c r="G466" s="9">
        <f>ведомство!J1997</f>
        <v>1.32362</v>
      </c>
      <c r="H466" s="9">
        <f>ведомство!K1997</f>
        <v>1.32362</v>
      </c>
      <c r="I466" s="9">
        <f t="shared" si="216"/>
        <v>99.89584905660378</v>
      </c>
      <c r="J466" s="9">
        <f t="shared" si="217"/>
        <v>100</v>
      </c>
    </row>
    <row r="467" spans="1:10">
      <c r="A467" s="8" t="s">
        <v>68</v>
      </c>
      <c r="B467" s="1" t="s">
        <v>800</v>
      </c>
      <c r="C467" s="1" t="s">
        <v>69</v>
      </c>
      <c r="D467" s="9">
        <f>D468</f>
        <v>175.6</v>
      </c>
      <c r="E467" s="9">
        <f>E468</f>
        <v>179.57499999999999</v>
      </c>
      <c r="F467" s="9">
        <f t="shared" ref="F467:G467" si="249">F468</f>
        <v>179.57402999999999</v>
      </c>
      <c r="G467" s="9">
        <f t="shared" si="249"/>
        <v>179.57402999999999</v>
      </c>
      <c r="H467" s="9">
        <f>H468</f>
        <v>179.57402999999999</v>
      </c>
      <c r="I467" s="9">
        <f t="shared" ref="I467:I530" si="250">H467/E467*100</f>
        <v>99.999459835723243</v>
      </c>
      <c r="J467" s="9">
        <f t="shared" ref="J467:J530" si="251">H467/F467*100</f>
        <v>100</v>
      </c>
    </row>
    <row r="468" spans="1:10">
      <c r="A468" s="8" t="s">
        <v>463</v>
      </c>
      <c r="B468" s="1" t="s">
        <v>800</v>
      </c>
      <c r="C468" s="1" t="s">
        <v>464</v>
      </c>
      <c r="D468" s="9">
        <f>ведомство!G1999</f>
        <v>175.6</v>
      </c>
      <c r="E468" s="9">
        <f>ведомство!H1999</f>
        <v>179.57499999999999</v>
      </c>
      <c r="F468" s="9">
        <f>ведомство!I1999</f>
        <v>179.57402999999999</v>
      </c>
      <c r="G468" s="9">
        <f>ведомство!J1999</f>
        <v>179.57402999999999</v>
      </c>
      <c r="H468" s="9">
        <f>ведомство!K1999</f>
        <v>179.57402999999999</v>
      </c>
      <c r="I468" s="9">
        <f t="shared" si="250"/>
        <v>99.999459835723243</v>
      </c>
      <c r="J468" s="9">
        <f t="shared" si="251"/>
        <v>100</v>
      </c>
    </row>
    <row r="469" spans="1:10" ht="89.25">
      <c r="A469" s="8" t="s">
        <v>868</v>
      </c>
      <c r="B469" s="1" t="s">
        <v>869</v>
      </c>
      <c r="C469" s="1" t="s">
        <v>0</v>
      </c>
      <c r="D469" s="9">
        <f>D470+D472</f>
        <v>420734.6</v>
      </c>
      <c r="E469" s="9">
        <f>E470+E472</f>
        <v>420734.6</v>
      </c>
      <c r="F469" s="9">
        <f t="shared" ref="F469:G469" si="252">F470+F472</f>
        <v>296399.38584</v>
      </c>
      <c r="G469" s="9">
        <f t="shared" si="252"/>
        <v>296399.38584</v>
      </c>
      <c r="H469" s="9">
        <f>H470+H472</f>
        <v>296396.18584000005</v>
      </c>
      <c r="I469" s="9">
        <f t="shared" si="250"/>
        <v>70.447304747458389</v>
      </c>
      <c r="J469" s="9">
        <f t="shared" si="251"/>
        <v>99.998920375630703</v>
      </c>
    </row>
    <row r="470" spans="1:10" ht="25.5">
      <c r="A470" s="8" t="s">
        <v>64</v>
      </c>
      <c r="B470" s="1" t="s">
        <v>869</v>
      </c>
      <c r="C470" s="1" t="s">
        <v>65</v>
      </c>
      <c r="D470" s="9">
        <f>D471</f>
        <v>480</v>
      </c>
      <c r="E470" s="9">
        <f>E471</f>
        <v>480</v>
      </c>
      <c r="F470" s="9">
        <f t="shared" ref="F470:G470" si="253">F471</f>
        <v>312.00380999999999</v>
      </c>
      <c r="G470" s="9">
        <f t="shared" si="253"/>
        <v>312.00380999999999</v>
      </c>
      <c r="H470" s="9">
        <f>H471</f>
        <v>312.00380999999999</v>
      </c>
      <c r="I470" s="9">
        <f t="shared" si="250"/>
        <v>65.00079375</v>
      </c>
      <c r="J470" s="9">
        <f t="shared" si="251"/>
        <v>100</v>
      </c>
    </row>
    <row r="471" spans="1:10" ht="25.5">
      <c r="A471" s="8" t="s">
        <v>66</v>
      </c>
      <c r="B471" s="1" t="s">
        <v>869</v>
      </c>
      <c r="C471" s="1" t="s">
        <v>67</v>
      </c>
      <c r="D471" s="9">
        <f>ведомство!G2162</f>
        <v>480</v>
      </c>
      <c r="E471" s="9">
        <f>ведомство!H2162</f>
        <v>480</v>
      </c>
      <c r="F471" s="9">
        <f>ведомство!I2162</f>
        <v>312.00380999999999</v>
      </c>
      <c r="G471" s="9">
        <f>ведомство!J2162</f>
        <v>312.00380999999999</v>
      </c>
      <c r="H471" s="9">
        <f>ведомство!K2162</f>
        <v>312.00380999999999</v>
      </c>
      <c r="I471" s="9">
        <f t="shared" si="250"/>
        <v>65.00079375</v>
      </c>
      <c r="J471" s="9">
        <f t="shared" si="251"/>
        <v>100</v>
      </c>
    </row>
    <row r="472" spans="1:10">
      <c r="A472" s="8" t="s">
        <v>68</v>
      </c>
      <c r="B472" s="1" t="s">
        <v>869</v>
      </c>
      <c r="C472" s="1" t="s">
        <v>69</v>
      </c>
      <c r="D472" s="9">
        <f>D473</f>
        <v>420254.6</v>
      </c>
      <c r="E472" s="9">
        <f>E473</f>
        <v>420254.6</v>
      </c>
      <c r="F472" s="9">
        <f t="shared" ref="F472:G472" si="254">F473</f>
        <v>296087.38202999998</v>
      </c>
      <c r="G472" s="9">
        <f t="shared" si="254"/>
        <v>296087.38202999998</v>
      </c>
      <c r="H472" s="9">
        <f>H473</f>
        <v>296084.18203000003</v>
      </c>
      <c r="I472" s="9">
        <f t="shared" si="250"/>
        <v>70.453525560457891</v>
      </c>
      <c r="J472" s="9">
        <f t="shared" si="251"/>
        <v>99.998919237970213</v>
      </c>
    </row>
    <row r="473" spans="1:10">
      <c r="A473" s="8" t="s">
        <v>463</v>
      </c>
      <c r="B473" s="1" t="s">
        <v>869</v>
      </c>
      <c r="C473" s="1" t="s">
        <v>464</v>
      </c>
      <c r="D473" s="9">
        <f>ведомство!G2164</f>
        <v>420254.6</v>
      </c>
      <c r="E473" s="9">
        <f>ведомство!H2164</f>
        <v>420254.6</v>
      </c>
      <c r="F473" s="9">
        <f>ведомство!I2164</f>
        <v>296087.38202999998</v>
      </c>
      <c r="G473" s="9">
        <f>ведомство!J2164</f>
        <v>296087.38202999998</v>
      </c>
      <c r="H473" s="9">
        <f>ведомство!K2164</f>
        <v>296084.18203000003</v>
      </c>
      <c r="I473" s="9">
        <f t="shared" si="250"/>
        <v>70.453525560457891</v>
      </c>
      <c r="J473" s="9">
        <f t="shared" si="251"/>
        <v>99.998919237970213</v>
      </c>
    </row>
    <row r="474" spans="1:10" ht="25.5">
      <c r="A474" s="8" t="s">
        <v>774</v>
      </c>
      <c r="B474" s="1" t="s">
        <v>801</v>
      </c>
      <c r="C474" s="1" t="s">
        <v>0</v>
      </c>
      <c r="D474" s="9">
        <f>D475</f>
        <v>40</v>
      </c>
      <c r="E474" s="9">
        <f>E475</f>
        <v>40</v>
      </c>
      <c r="F474" s="9">
        <f t="shared" ref="F474:G475" si="255">F475</f>
        <v>19.2</v>
      </c>
      <c r="G474" s="9">
        <f t="shared" si="255"/>
        <v>18.399999999999999</v>
      </c>
      <c r="H474" s="9">
        <f>H475</f>
        <v>3.2</v>
      </c>
      <c r="I474" s="9">
        <f t="shared" si="250"/>
        <v>8</v>
      </c>
      <c r="J474" s="9">
        <f t="shared" si="251"/>
        <v>16.666666666666668</v>
      </c>
    </row>
    <row r="475" spans="1:10" ht="25.5">
      <c r="A475" s="8" t="s">
        <v>64</v>
      </c>
      <c r="B475" s="1" t="s">
        <v>801</v>
      </c>
      <c r="C475" s="1" t="s">
        <v>65</v>
      </c>
      <c r="D475" s="9">
        <f>D476</f>
        <v>40</v>
      </c>
      <c r="E475" s="9">
        <f>E476</f>
        <v>40</v>
      </c>
      <c r="F475" s="9">
        <f t="shared" si="255"/>
        <v>19.2</v>
      </c>
      <c r="G475" s="9">
        <f t="shared" si="255"/>
        <v>18.399999999999999</v>
      </c>
      <c r="H475" s="9">
        <f>H476</f>
        <v>3.2</v>
      </c>
      <c r="I475" s="9">
        <f t="shared" si="250"/>
        <v>8</v>
      </c>
      <c r="J475" s="9">
        <f t="shared" si="251"/>
        <v>16.666666666666668</v>
      </c>
    </row>
    <row r="476" spans="1:10" ht="25.5">
      <c r="A476" s="8" t="s">
        <v>66</v>
      </c>
      <c r="B476" s="1" t="s">
        <v>801</v>
      </c>
      <c r="C476" s="1" t="s">
        <v>67</v>
      </c>
      <c r="D476" s="9">
        <f>ведомство!G2002</f>
        <v>40</v>
      </c>
      <c r="E476" s="9">
        <f>ведомство!H2002</f>
        <v>40</v>
      </c>
      <c r="F476" s="9">
        <f>ведомство!I2002</f>
        <v>19.2</v>
      </c>
      <c r="G476" s="9">
        <f>ведомство!J2002</f>
        <v>18.399999999999999</v>
      </c>
      <c r="H476" s="9">
        <f>ведомство!K2002</f>
        <v>3.2</v>
      </c>
      <c r="I476" s="9">
        <f t="shared" si="250"/>
        <v>8</v>
      </c>
      <c r="J476" s="9">
        <f t="shared" si="251"/>
        <v>16.666666666666668</v>
      </c>
    </row>
    <row r="477" spans="1:10" ht="25.5">
      <c r="A477" s="8" t="s">
        <v>802</v>
      </c>
      <c r="B477" s="1" t="s">
        <v>803</v>
      </c>
      <c r="C477" s="1" t="s">
        <v>0</v>
      </c>
      <c r="D477" s="9">
        <f>D478+D480</f>
        <v>503667.1</v>
      </c>
      <c r="E477" s="9">
        <f>E478+E480</f>
        <v>503667.114</v>
      </c>
      <c r="F477" s="9">
        <f t="shared" ref="F477:G477" si="256">F478+F480</f>
        <v>394468.42100000003</v>
      </c>
      <c r="G477" s="9">
        <f t="shared" si="256"/>
        <v>394468.42100000003</v>
      </c>
      <c r="H477" s="9">
        <f>H478+H480</f>
        <v>394440.49476999999</v>
      </c>
      <c r="I477" s="9">
        <f t="shared" si="250"/>
        <v>78.31372821573575</v>
      </c>
      <c r="J477" s="9">
        <f t="shared" si="251"/>
        <v>99.992920541033612</v>
      </c>
    </row>
    <row r="478" spans="1:10" ht="25.5">
      <c r="A478" s="8" t="s">
        <v>64</v>
      </c>
      <c r="B478" s="1" t="s">
        <v>803</v>
      </c>
      <c r="C478" s="1" t="s">
        <v>65</v>
      </c>
      <c r="D478" s="9">
        <f>D479</f>
        <v>6324.5</v>
      </c>
      <c r="E478" s="9">
        <f>E479</f>
        <v>5632.7982499999998</v>
      </c>
      <c r="F478" s="9">
        <f t="shared" ref="F478:G478" si="257">F479</f>
        <v>4080.9372499999999</v>
      </c>
      <c r="G478" s="9">
        <f t="shared" si="257"/>
        <v>4080.9372499999999</v>
      </c>
      <c r="H478" s="9">
        <f>H479</f>
        <v>4080.5253400000001</v>
      </c>
      <c r="I478" s="9">
        <f t="shared" si="250"/>
        <v>72.442242006448581</v>
      </c>
      <c r="J478" s="9">
        <f t="shared" si="251"/>
        <v>99.989906485330067</v>
      </c>
    </row>
    <row r="479" spans="1:10" ht="25.5">
      <c r="A479" s="8" t="s">
        <v>66</v>
      </c>
      <c r="B479" s="1" t="s">
        <v>803</v>
      </c>
      <c r="C479" s="1" t="s">
        <v>67</v>
      </c>
      <c r="D479" s="9">
        <f>ведомство!G2005</f>
        <v>6324.5</v>
      </c>
      <c r="E479" s="9">
        <f>ведомство!H2005</f>
        <v>5632.7982499999998</v>
      </c>
      <c r="F479" s="9">
        <f>ведомство!I2005</f>
        <v>4080.9372499999999</v>
      </c>
      <c r="G479" s="9">
        <f>ведомство!J2005</f>
        <v>4080.9372499999999</v>
      </c>
      <c r="H479" s="9">
        <f>ведомство!K2005</f>
        <v>4080.5253400000001</v>
      </c>
      <c r="I479" s="9">
        <f t="shared" si="250"/>
        <v>72.442242006448581</v>
      </c>
      <c r="J479" s="9">
        <f t="shared" si="251"/>
        <v>99.989906485330067</v>
      </c>
    </row>
    <row r="480" spans="1:10">
      <c r="A480" s="8" t="s">
        <v>68</v>
      </c>
      <c r="B480" s="1" t="s">
        <v>803</v>
      </c>
      <c r="C480" s="1" t="s">
        <v>69</v>
      </c>
      <c r="D480" s="9">
        <f>D481</f>
        <v>497342.6</v>
      </c>
      <c r="E480" s="9">
        <f>E481</f>
        <v>498034.31575000001</v>
      </c>
      <c r="F480" s="9">
        <f t="shared" ref="F480:G480" si="258">F481</f>
        <v>390387.48375000001</v>
      </c>
      <c r="G480" s="9">
        <f t="shared" si="258"/>
        <v>390387.48375000001</v>
      </c>
      <c r="H480" s="9">
        <f>H481</f>
        <v>390359.96943</v>
      </c>
      <c r="I480" s="9">
        <f t="shared" si="250"/>
        <v>78.380135080079569</v>
      </c>
      <c r="J480" s="9">
        <f t="shared" si="251"/>
        <v>99.992952048632361</v>
      </c>
    </row>
    <row r="481" spans="1:10" ht="25.5">
      <c r="A481" s="8" t="s">
        <v>151</v>
      </c>
      <c r="B481" s="1" t="s">
        <v>803</v>
      </c>
      <c r="C481" s="1" t="s">
        <v>152</v>
      </c>
      <c r="D481" s="9">
        <f>ведомство!G2007</f>
        <v>497342.6</v>
      </c>
      <c r="E481" s="9">
        <f>ведомство!H2007</f>
        <v>498034.31575000001</v>
      </c>
      <c r="F481" s="9">
        <f>ведомство!I2007</f>
        <v>390387.48375000001</v>
      </c>
      <c r="G481" s="9">
        <f>ведомство!J2007</f>
        <v>390387.48375000001</v>
      </c>
      <c r="H481" s="9">
        <f>ведомство!K2007</f>
        <v>390359.96943</v>
      </c>
      <c r="I481" s="9">
        <f t="shared" si="250"/>
        <v>78.380135080079569</v>
      </c>
      <c r="J481" s="9">
        <f t="shared" si="251"/>
        <v>99.992952048632361</v>
      </c>
    </row>
    <row r="482" spans="1:10" ht="25.5">
      <c r="A482" s="8" t="s">
        <v>804</v>
      </c>
      <c r="B482" s="1" t="s">
        <v>805</v>
      </c>
      <c r="C482" s="1" t="s">
        <v>0</v>
      </c>
      <c r="D482" s="9">
        <f>D483+D485</f>
        <v>11405.4</v>
      </c>
      <c r="E482" s="9">
        <f>E483+E485</f>
        <v>11405.388000000001</v>
      </c>
      <c r="F482" s="9">
        <f t="shared" ref="F482:G482" si="259">F483+F485</f>
        <v>8546.9130000000005</v>
      </c>
      <c r="G482" s="9">
        <f t="shared" si="259"/>
        <v>8524.9724100000003</v>
      </c>
      <c r="H482" s="9">
        <f>H483+H485</f>
        <v>8364.3455700000013</v>
      </c>
      <c r="I482" s="9">
        <f t="shared" si="250"/>
        <v>73.336791085055594</v>
      </c>
      <c r="J482" s="9">
        <f t="shared" si="251"/>
        <v>97.863937189953859</v>
      </c>
    </row>
    <row r="483" spans="1:10" ht="25.5">
      <c r="A483" s="8" t="s">
        <v>64</v>
      </c>
      <c r="B483" s="1" t="s">
        <v>805</v>
      </c>
      <c r="C483" s="1" t="s">
        <v>65</v>
      </c>
      <c r="D483" s="9">
        <f>D484</f>
        <v>139.1</v>
      </c>
      <c r="E483" s="9">
        <f>E484</f>
        <v>139.13800000000001</v>
      </c>
      <c r="F483" s="9">
        <f t="shared" ref="F483:G483" si="260">F484</f>
        <v>106.461</v>
      </c>
      <c r="G483" s="9">
        <f t="shared" si="260"/>
        <v>97.520409999999998</v>
      </c>
      <c r="H483" s="9">
        <f>H484</f>
        <v>93.841269999999994</v>
      </c>
      <c r="I483" s="9">
        <f t="shared" si="250"/>
        <v>67.444745504463185</v>
      </c>
      <c r="J483" s="9">
        <f t="shared" si="251"/>
        <v>88.146147415485473</v>
      </c>
    </row>
    <row r="484" spans="1:10" ht="25.5">
      <c r="A484" s="8" t="s">
        <v>66</v>
      </c>
      <c r="B484" s="1" t="s">
        <v>805</v>
      </c>
      <c r="C484" s="1" t="s">
        <v>67</v>
      </c>
      <c r="D484" s="9">
        <f>ведомство!G2010</f>
        <v>139.1</v>
      </c>
      <c r="E484" s="9">
        <f>ведомство!H2010</f>
        <v>139.13800000000001</v>
      </c>
      <c r="F484" s="9">
        <f>ведомство!I2010</f>
        <v>106.461</v>
      </c>
      <c r="G484" s="9">
        <f>ведомство!J2010</f>
        <v>97.520409999999998</v>
      </c>
      <c r="H484" s="9">
        <f>ведомство!K2010</f>
        <v>93.841269999999994</v>
      </c>
      <c r="I484" s="9">
        <f t="shared" si="250"/>
        <v>67.444745504463185</v>
      </c>
      <c r="J484" s="9">
        <f t="shared" si="251"/>
        <v>88.146147415485473</v>
      </c>
    </row>
    <row r="485" spans="1:10">
      <c r="A485" s="8" t="s">
        <v>68</v>
      </c>
      <c r="B485" s="1" t="s">
        <v>805</v>
      </c>
      <c r="C485" s="1" t="s">
        <v>69</v>
      </c>
      <c r="D485" s="9">
        <f>D486</f>
        <v>11266.3</v>
      </c>
      <c r="E485" s="9">
        <f>E486</f>
        <v>11266.25</v>
      </c>
      <c r="F485" s="9">
        <f t="shared" ref="F485:G485" si="261">F486</f>
        <v>8440.4520000000011</v>
      </c>
      <c r="G485" s="9">
        <f t="shared" si="261"/>
        <v>8427.4520000000011</v>
      </c>
      <c r="H485" s="9">
        <f>H486</f>
        <v>8270.5043000000005</v>
      </c>
      <c r="I485" s="9">
        <f t="shared" si="250"/>
        <v>73.409557749916786</v>
      </c>
      <c r="J485" s="9">
        <f t="shared" si="251"/>
        <v>97.986509490250043</v>
      </c>
    </row>
    <row r="486" spans="1:10" ht="25.5">
      <c r="A486" s="8" t="s">
        <v>151</v>
      </c>
      <c r="B486" s="1" t="s">
        <v>805</v>
      </c>
      <c r="C486" s="1" t="s">
        <v>152</v>
      </c>
      <c r="D486" s="9">
        <f>ведомство!G2012</f>
        <v>11266.3</v>
      </c>
      <c r="E486" s="9">
        <f>ведомство!H2012</f>
        <v>11266.25</v>
      </c>
      <c r="F486" s="9">
        <f>ведомство!I2012</f>
        <v>8440.4520000000011</v>
      </c>
      <c r="G486" s="9">
        <f>ведомство!J2012</f>
        <v>8427.4520000000011</v>
      </c>
      <c r="H486" s="9">
        <f>ведомство!K2012</f>
        <v>8270.5043000000005</v>
      </c>
      <c r="I486" s="9">
        <f t="shared" si="250"/>
        <v>73.409557749916786</v>
      </c>
      <c r="J486" s="9">
        <f t="shared" si="251"/>
        <v>97.986509490250043</v>
      </c>
    </row>
    <row r="487" spans="1:10" ht="38.25">
      <c r="A487" s="8" t="s">
        <v>806</v>
      </c>
      <c r="B487" s="1" t="s">
        <v>807</v>
      </c>
      <c r="C487" s="1" t="s">
        <v>0</v>
      </c>
      <c r="D487" s="9">
        <f>D488+D490</f>
        <v>173621.90000000002</v>
      </c>
      <c r="E487" s="9">
        <f>E488+E490</f>
        <v>173621.899</v>
      </c>
      <c r="F487" s="9">
        <f t="shared" ref="F487:G487" si="262">F488+F490</f>
        <v>112709.06200000001</v>
      </c>
      <c r="G487" s="9">
        <f t="shared" si="262"/>
        <v>112709.06200000001</v>
      </c>
      <c r="H487" s="9">
        <f>H488+H490</f>
        <v>112706.09836</v>
      </c>
      <c r="I487" s="9">
        <f t="shared" si="250"/>
        <v>64.914678971458557</v>
      </c>
      <c r="J487" s="9">
        <f t="shared" si="251"/>
        <v>99.997370539735314</v>
      </c>
    </row>
    <row r="488" spans="1:10" ht="25.5">
      <c r="A488" s="8" t="s">
        <v>64</v>
      </c>
      <c r="B488" s="1" t="s">
        <v>807</v>
      </c>
      <c r="C488" s="1" t="s">
        <v>65</v>
      </c>
      <c r="D488" s="9">
        <f>D489</f>
        <v>2353.1999999999998</v>
      </c>
      <c r="E488" s="9">
        <f>E489</f>
        <v>2353.2310000000002</v>
      </c>
      <c r="F488" s="9">
        <f t="shared" ref="F488:G488" si="263">F489</f>
        <v>1437.2660000000001</v>
      </c>
      <c r="G488" s="9">
        <f t="shared" si="263"/>
        <v>1437.2660000000001</v>
      </c>
      <c r="H488" s="9">
        <f>H489</f>
        <v>1437.2650000000001</v>
      </c>
      <c r="I488" s="9">
        <f t="shared" si="250"/>
        <v>61.076239434207693</v>
      </c>
      <c r="J488" s="9">
        <f t="shared" si="251"/>
        <v>99.99993042345676</v>
      </c>
    </row>
    <row r="489" spans="1:10" ht="25.5">
      <c r="A489" s="8" t="s">
        <v>66</v>
      </c>
      <c r="B489" s="1" t="s">
        <v>807</v>
      </c>
      <c r="C489" s="1" t="s">
        <v>67</v>
      </c>
      <c r="D489" s="9">
        <f>ведомство!G2015</f>
        <v>2353.1999999999998</v>
      </c>
      <c r="E489" s="9">
        <f>ведомство!H2015</f>
        <v>2353.2310000000002</v>
      </c>
      <c r="F489" s="9">
        <f>ведомство!I2015</f>
        <v>1437.2660000000001</v>
      </c>
      <c r="G489" s="9">
        <f>ведомство!J2015</f>
        <v>1437.2660000000001</v>
      </c>
      <c r="H489" s="9">
        <f>ведомство!K2015</f>
        <v>1437.2650000000001</v>
      </c>
      <c r="I489" s="9">
        <f t="shared" si="250"/>
        <v>61.076239434207693</v>
      </c>
      <c r="J489" s="9">
        <f t="shared" si="251"/>
        <v>99.99993042345676</v>
      </c>
    </row>
    <row r="490" spans="1:10">
      <c r="A490" s="8" t="s">
        <v>68</v>
      </c>
      <c r="B490" s="1" t="s">
        <v>807</v>
      </c>
      <c r="C490" s="1" t="s">
        <v>69</v>
      </c>
      <c r="D490" s="9">
        <f>D491</f>
        <v>171268.7</v>
      </c>
      <c r="E490" s="9">
        <f>E491</f>
        <v>171268.66800000001</v>
      </c>
      <c r="F490" s="9">
        <f t="shared" ref="F490:G490" si="264">F491</f>
        <v>111271.796</v>
      </c>
      <c r="G490" s="9">
        <f t="shared" si="264"/>
        <v>111271.796</v>
      </c>
      <c r="H490" s="9">
        <f>H491</f>
        <v>111268.83336</v>
      </c>
      <c r="I490" s="9">
        <f t="shared" si="250"/>
        <v>64.967419119532124</v>
      </c>
      <c r="J490" s="9">
        <f t="shared" si="251"/>
        <v>99.997337474448599</v>
      </c>
    </row>
    <row r="491" spans="1:10" ht="25.5">
      <c r="A491" s="8" t="s">
        <v>151</v>
      </c>
      <c r="B491" s="1" t="s">
        <v>807</v>
      </c>
      <c r="C491" s="1" t="s">
        <v>152</v>
      </c>
      <c r="D491" s="9">
        <f>ведомство!G2017</f>
        <v>171268.7</v>
      </c>
      <c r="E491" s="9">
        <f>ведомство!H2017</f>
        <v>171268.66800000001</v>
      </c>
      <c r="F491" s="9">
        <f>ведомство!I2017</f>
        <v>111271.796</v>
      </c>
      <c r="G491" s="9">
        <f>ведомство!J2017</f>
        <v>111271.796</v>
      </c>
      <c r="H491" s="9">
        <f>ведомство!K2017</f>
        <v>111268.83336</v>
      </c>
      <c r="I491" s="9">
        <f t="shared" si="250"/>
        <v>64.967419119532124</v>
      </c>
      <c r="J491" s="9">
        <f t="shared" si="251"/>
        <v>99.997337474448599</v>
      </c>
    </row>
    <row r="492" spans="1:10" ht="25.5">
      <c r="A492" s="8" t="s">
        <v>808</v>
      </c>
      <c r="B492" s="1" t="s">
        <v>809</v>
      </c>
      <c r="C492" s="1" t="s">
        <v>0</v>
      </c>
      <c r="D492" s="9">
        <f>D493+D495</f>
        <v>1683392.7</v>
      </c>
      <c r="E492" s="9">
        <f>E493+E495</f>
        <v>1683392.71575</v>
      </c>
      <c r="F492" s="9">
        <f t="shared" ref="F492:G492" si="265">F493+F495</f>
        <v>1334888.8002000002</v>
      </c>
      <c r="G492" s="9">
        <f t="shared" si="265"/>
        <v>1334888.79969</v>
      </c>
      <c r="H492" s="9">
        <f>H493+H495</f>
        <v>1332755.2438700001</v>
      </c>
      <c r="I492" s="9">
        <f t="shared" si="250"/>
        <v>79.17078596102985</v>
      </c>
      <c r="J492" s="9">
        <f t="shared" si="251"/>
        <v>99.840169733263153</v>
      </c>
    </row>
    <row r="493" spans="1:10" ht="25.5">
      <c r="A493" s="8" t="s">
        <v>64</v>
      </c>
      <c r="B493" s="1" t="s">
        <v>809</v>
      </c>
      <c r="C493" s="1" t="s">
        <v>65</v>
      </c>
      <c r="D493" s="9">
        <f>D494</f>
        <v>27155.4</v>
      </c>
      <c r="E493" s="9">
        <f>E494</f>
        <v>27155.442999999999</v>
      </c>
      <c r="F493" s="9">
        <f t="shared" ref="F493:G493" si="266">F494</f>
        <v>17870.681</v>
      </c>
      <c r="G493" s="9">
        <f t="shared" si="266"/>
        <v>17870.681</v>
      </c>
      <c r="H493" s="9">
        <f>H494</f>
        <v>17822.079419999998</v>
      </c>
      <c r="I493" s="9">
        <f t="shared" si="250"/>
        <v>65.629860724422713</v>
      </c>
      <c r="J493" s="9">
        <f t="shared" si="251"/>
        <v>99.728037336685702</v>
      </c>
    </row>
    <row r="494" spans="1:10" ht="25.5">
      <c r="A494" s="8" t="s">
        <v>66</v>
      </c>
      <c r="B494" s="1" t="s">
        <v>809</v>
      </c>
      <c r="C494" s="1" t="s">
        <v>67</v>
      </c>
      <c r="D494" s="9">
        <f>ведомство!G2020</f>
        <v>27155.4</v>
      </c>
      <c r="E494" s="9">
        <f>ведомство!H2020</f>
        <v>27155.442999999999</v>
      </c>
      <c r="F494" s="9">
        <f>ведомство!I2020</f>
        <v>17870.681</v>
      </c>
      <c r="G494" s="9">
        <f>ведомство!J2020</f>
        <v>17870.681</v>
      </c>
      <c r="H494" s="9">
        <f>ведомство!K2020</f>
        <v>17822.079419999998</v>
      </c>
      <c r="I494" s="9">
        <f t="shared" si="250"/>
        <v>65.629860724422713</v>
      </c>
      <c r="J494" s="9">
        <f t="shared" si="251"/>
        <v>99.728037336685702</v>
      </c>
    </row>
    <row r="495" spans="1:10">
      <c r="A495" s="8" t="s">
        <v>68</v>
      </c>
      <c r="B495" s="1" t="s">
        <v>809</v>
      </c>
      <c r="C495" s="1" t="s">
        <v>69</v>
      </c>
      <c r="D495" s="9">
        <f>D496</f>
        <v>1656237.3</v>
      </c>
      <c r="E495" s="9">
        <f>E496</f>
        <v>1656237.27275</v>
      </c>
      <c r="F495" s="9">
        <f t="shared" ref="F495:G495" si="267">F496</f>
        <v>1317018.1192000001</v>
      </c>
      <c r="G495" s="9">
        <f t="shared" si="267"/>
        <v>1317018.1186899999</v>
      </c>
      <c r="H495" s="9">
        <f>H496</f>
        <v>1314933.16445</v>
      </c>
      <c r="I495" s="9">
        <f t="shared" si="250"/>
        <v>79.392801145375628</v>
      </c>
      <c r="J495" s="9">
        <f t="shared" si="251"/>
        <v>99.841691263043018</v>
      </c>
    </row>
    <row r="496" spans="1:10" ht="25.5">
      <c r="A496" s="8" t="s">
        <v>151</v>
      </c>
      <c r="B496" s="1" t="s">
        <v>809</v>
      </c>
      <c r="C496" s="1" t="s">
        <v>152</v>
      </c>
      <c r="D496" s="9">
        <f>ведомство!G2022</f>
        <v>1656237.3</v>
      </c>
      <c r="E496" s="9">
        <f>ведомство!H2022</f>
        <v>1656237.27275</v>
      </c>
      <c r="F496" s="9">
        <f>ведомство!I2022</f>
        <v>1317018.1192000001</v>
      </c>
      <c r="G496" s="9">
        <f>ведомство!J2022</f>
        <v>1317018.1186899999</v>
      </c>
      <c r="H496" s="9">
        <f>ведомство!K2022</f>
        <v>1314933.16445</v>
      </c>
      <c r="I496" s="9">
        <f t="shared" si="250"/>
        <v>79.392801145375628</v>
      </c>
      <c r="J496" s="9">
        <f t="shared" si="251"/>
        <v>99.841691263043018</v>
      </c>
    </row>
    <row r="497" spans="1:10" ht="25.5">
      <c r="A497" s="8" t="s">
        <v>810</v>
      </c>
      <c r="B497" s="1" t="s">
        <v>811</v>
      </c>
      <c r="C497" s="1" t="s">
        <v>0</v>
      </c>
      <c r="D497" s="9">
        <f>D498</f>
        <v>49.3</v>
      </c>
      <c r="E497" s="9">
        <f>E498</f>
        <v>49.283000000000001</v>
      </c>
      <c r="F497" s="9">
        <f t="shared" ref="F497:G498" si="268">F498</f>
        <v>39.4</v>
      </c>
      <c r="G497" s="9">
        <f t="shared" si="268"/>
        <v>27.091000000000001</v>
      </c>
      <c r="H497" s="9">
        <f>H498</f>
        <v>24.780449999999998</v>
      </c>
      <c r="I497" s="9">
        <f t="shared" si="250"/>
        <v>50.281943063531031</v>
      </c>
      <c r="J497" s="9">
        <f t="shared" si="251"/>
        <v>62.894543147208118</v>
      </c>
    </row>
    <row r="498" spans="1:10">
      <c r="A498" s="8" t="s">
        <v>68</v>
      </c>
      <c r="B498" s="1" t="s">
        <v>811</v>
      </c>
      <c r="C498" s="1" t="s">
        <v>69</v>
      </c>
      <c r="D498" s="9">
        <f>D499</f>
        <v>49.3</v>
      </c>
      <c r="E498" s="9">
        <f>E499</f>
        <v>49.283000000000001</v>
      </c>
      <c r="F498" s="9">
        <f t="shared" si="268"/>
        <v>39.4</v>
      </c>
      <c r="G498" s="9">
        <f t="shared" si="268"/>
        <v>27.091000000000001</v>
      </c>
      <c r="H498" s="9">
        <f>H499</f>
        <v>24.780449999999998</v>
      </c>
      <c r="I498" s="9">
        <f t="shared" si="250"/>
        <v>50.281943063531031</v>
      </c>
      <c r="J498" s="9">
        <f t="shared" si="251"/>
        <v>62.894543147208118</v>
      </c>
    </row>
    <row r="499" spans="1:10" ht="25.5">
      <c r="A499" s="8" t="s">
        <v>151</v>
      </c>
      <c r="B499" s="1" t="s">
        <v>811</v>
      </c>
      <c r="C499" s="1" t="s">
        <v>152</v>
      </c>
      <c r="D499" s="9">
        <f>ведомство!G2025</f>
        <v>49.3</v>
      </c>
      <c r="E499" s="9">
        <f>ведомство!H2025</f>
        <v>49.283000000000001</v>
      </c>
      <c r="F499" s="9">
        <f>ведомство!I2025</f>
        <v>39.4</v>
      </c>
      <c r="G499" s="9">
        <f>ведомство!J2025</f>
        <v>27.091000000000001</v>
      </c>
      <c r="H499" s="9">
        <f>ведомство!K2025</f>
        <v>24.780449999999998</v>
      </c>
      <c r="I499" s="9">
        <f t="shared" si="250"/>
        <v>50.281943063531031</v>
      </c>
      <c r="J499" s="9">
        <f t="shared" si="251"/>
        <v>62.894543147208118</v>
      </c>
    </row>
    <row r="500" spans="1:10" ht="38.25">
      <c r="A500" s="8" t="s">
        <v>812</v>
      </c>
      <c r="B500" s="1" t="s">
        <v>813</v>
      </c>
      <c r="C500" s="1" t="s">
        <v>0</v>
      </c>
      <c r="D500" s="9">
        <f>D501+D503</f>
        <v>15481.8</v>
      </c>
      <c r="E500" s="9">
        <f>E501+E503</f>
        <v>15481.800000000001</v>
      </c>
      <c r="F500" s="9">
        <f t="shared" ref="F500:G500" si="269">F501+F503</f>
        <v>11357.065999999999</v>
      </c>
      <c r="G500" s="9">
        <f t="shared" si="269"/>
        <v>11331.261999999999</v>
      </c>
      <c r="H500" s="9">
        <f>H501+H503</f>
        <v>11245.97466</v>
      </c>
      <c r="I500" s="9">
        <f t="shared" si="250"/>
        <v>72.639968608301359</v>
      </c>
      <c r="J500" s="9">
        <f t="shared" si="251"/>
        <v>99.021830638300429</v>
      </c>
    </row>
    <row r="501" spans="1:10" ht="25.5">
      <c r="A501" s="8" t="s">
        <v>64</v>
      </c>
      <c r="B501" s="1" t="s">
        <v>813</v>
      </c>
      <c r="C501" s="1" t="s">
        <v>65</v>
      </c>
      <c r="D501" s="9">
        <f>D502</f>
        <v>229.3</v>
      </c>
      <c r="E501" s="9">
        <f>E502</f>
        <v>229.279</v>
      </c>
      <c r="F501" s="9">
        <f t="shared" ref="F501:G501" si="270">F502</f>
        <v>180.1</v>
      </c>
      <c r="G501" s="9">
        <f t="shared" si="270"/>
        <v>154.29599999999999</v>
      </c>
      <c r="H501" s="9">
        <f>H502</f>
        <v>154.29492999999999</v>
      </c>
      <c r="I501" s="9">
        <f t="shared" si="250"/>
        <v>67.295709593988107</v>
      </c>
      <c r="J501" s="9">
        <f t="shared" si="251"/>
        <v>85.671810105496945</v>
      </c>
    </row>
    <row r="502" spans="1:10" ht="25.5">
      <c r="A502" s="8" t="s">
        <v>66</v>
      </c>
      <c r="B502" s="1" t="s">
        <v>813</v>
      </c>
      <c r="C502" s="1" t="s">
        <v>67</v>
      </c>
      <c r="D502" s="9">
        <f>ведомство!G2028</f>
        <v>229.3</v>
      </c>
      <c r="E502" s="9">
        <f>ведомство!H2028</f>
        <v>229.279</v>
      </c>
      <c r="F502" s="9">
        <f>ведомство!I2028</f>
        <v>180.1</v>
      </c>
      <c r="G502" s="9">
        <f>ведомство!J2028</f>
        <v>154.29599999999999</v>
      </c>
      <c r="H502" s="9">
        <f>ведомство!K2028</f>
        <v>154.29492999999999</v>
      </c>
      <c r="I502" s="9">
        <f t="shared" si="250"/>
        <v>67.295709593988107</v>
      </c>
      <c r="J502" s="9">
        <f t="shared" si="251"/>
        <v>85.671810105496945</v>
      </c>
    </row>
    <row r="503" spans="1:10">
      <c r="A503" s="8" t="s">
        <v>68</v>
      </c>
      <c r="B503" s="1" t="s">
        <v>813</v>
      </c>
      <c r="C503" s="1" t="s">
        <v>69</v>
      </c>
      <c r="D503" s="9">
        <f>D504</f>
        <v>15252.5</v>
      </c>
      <c r="E503" s="9">
        <f>E504</f>
        <v>15252.521000000001</v>
      </c>
      <c r="F503" s="9">
        <f t="shared" ref="F503:G503" si="271">F504</f>
        <v>11176.965999999999</v>
      </c>
      <c r="G503" s="9">
        <f t="shared" si="271"/>
        <v>11176.965999999999</v>
      </c>
      <c r="H503" s="9">
        <f>H504</f>
        <v>11091.67973</v>
      </c>
      <c r="I503" s="9">
        <f t="shared" si="250"/>
        <v>72.72030459751538</v>
      </c>
      <c r="J503" s="9">
        <f t="shared" si="251"/>
        <v>99.236946144418809</v>
      </c>
    </row>
    <row r="504" spans="1:10" ht="25.5">
      <c r="A504" s="8" t="s">
        <v>151</v>
      </c>
      <c r="B504" s="1" t="s">
        <v>813</v>
      </c>
      <c r="C504" s="1" t="s">
        <v>152</v>
      </c>
      <c r="D504" s="9">
        <f>ведомство!G2030</f>
        <v>15252.5</v>
      </c>
      <c r="E504" s="9">
        <f>ведомство!H2030</f>
        <v>15252.521000000001</v>
      </c>
      <c r="F504" s="9">
        <f>ведомство!I2030</f>
        <v>11176.965999999999</v>
      </c>
      <c r="G504" s="9">
        <f>ведомство!J2030</f>
        <v>11176.965999999999</v>
      </c>
      <c r="H504" s="9">
        <f>ведомство!K2030</f>
        <v>11091.67973</v>
      </c>
      <c r="I504" s="9">
        <f t="shared" si="250"/>
        <v>72.72030459751538</v>
      </c>
      <c r="J504" s="9">
        <f t="shared" si="251"/>
        <v>99.236946144418809</v>
      </c>
    </row>
    <row r="505" spans="1:10" ht="25.5">
      <c r="A505" s="8" t="s">
        <v>767</v>
      </c>
      <c r="B505" s="1" t="s">
        <v>768</v>
      </c>
      <c r="C505" s="1" t="s">
        <v>0</v>
      </c>
      <c r="D505" s="9">
        <f>D506+D508</f>
        <v>53766.7</v>
      </c>
      <c r="E505" s="9">
        <f>E506+E508</f>
        <v>53766.720000000001</v>
      </c>
      <c r="F505" s="9">
        <f t="shared" ref="F505:G505" si="272">F506+F508</f>
        <v>40420.440999999999</v>
      </c>
      <c r="G505" s="9">
        <f t="shared" si="272"/>
        <v>40420.440999999999</v>
      </c>
      <c r="H505" s="9">
        <f>H506+H508</f>
        <v>40380.779829999999</v>
      </c>
      <c r="I505" s="9">
        <f t="shared" si="250"/>
        <v>75.103669760773954</v>
      </c>
      <c r="J505" s="9">
        <f t="shared" si="251"/>
        <v>99.901878433241237</v>
      </c>
    </row>
    <row r="506" spans="1:10" ht="25.5">
      <c r="A506" s="8" t="s">
        <v>64</v>
      </c>
      <c r="B506" s="1" t="s">
        <v>768</v>
      </c>
      <c r="C506" s="1" t="s">
        <v>65</v>
      </c>
      <c r="D506" s="9">
        <f>D507</f>
        <v>426.7</v>
      </c>
      <c r="E506" s="9">
        <f>E507</f>
        <v>426.72</v>
      </c>
      <c r="F506" s="9">
        <f t="shared" ref="F506:G506" si="273">F507</f>
        <v>243.70099999999999</v>
      </c>
      <c r="G506" s="9">
        <f t="shared" si="273"/>
        <v>243.70099999999999</v>
      </c>
      <c r="H506" s="9">
        <f>H507</f>
        <v>214.15290999999999</v>
      </c>
      <c r="I506" s="9">
        <f t="shared" si="250"/>
        <v>50.185815054368199</v>
      </c>
      <c r="J506" s="9">
        <f t="shared" si="251"/>
        <v>87.875269284902402</v>
      </c>
    </row>
    <row r="507" spans="1:10" ht="25.5">
      <c r="A507" s="8" t="s">
        <v>66</v>
      </c>
      <c r="B507" s="1" t="s">
        <v>768</v>
      </c>
      <c r="C507" s="1" t="s">
        <v>67</v>
      </c>
      <c r="D507" s="9">
        <f>ведомство!G1896</f>
        <v>426.7</v>
      </c>
      <c r="E507" s="9">
        <f>ведомство!H1896</f>
        <v>426.72</v>
      </c>
      <c r="F507" s="9">
        <f>ведомство!I1896</f>
        <v>243.70099999999999</v>
      </c>
      <c r="G507" s="9">
        <f>ведомство!J1896</f>
        <v>243.70099999999999</v>
      </c>
      <c r="H507" s="9">
        <f>ведомство!K1896</f>
        <v>214.15290999999999</v>
      </c>
      <c r="I507" s="9">
        <f t="shared" si="250"/>
        <v>50.185815054368199</v>
      </c>
      <c r="J507" s="9">
        <f t="shared" si="251"/>
        <v>87.875269284902402</v>
      </c>
    </row>
    <row r="508" spans="1:10">
      <c r="A508" s="8" t="s">
        <v>68</v>
      </c>
      <c r="B508" s="1" t="s">
        <v>768</v>
      </c>
      <c r="C508" s="1" t="s">
        <v>69</v>
      </c>
      <c r="D508" s="9">
        <f>D509</f>
        <v>53340</v>
      </c>
      <c r="E508" s="9">
        <f>E509</f>
        <v>53340</v>
      </c>
      <c r="F508" s="9">
        <f t="shared" ref="F508:G508" si="274">F509</f>
        <v>40176.74</v>
      </c>
      <c r="G508" s="9">
        <f t="shared" si="274"/>
        <v>40176.74</v>
      </c>
      <c r="H508" s="9">
        <f>H509</f>
        <v>40166.626920000002</v>
      </c>
      <c r="I508" s="9">
        <f t="shared" si="250"/>
        <v>75.303012598425198</v>
      </c>
      <c r="J508" s="9">
        <f t="shared" si="251"/>
        <v>99.974828520183578</v>
      </c>
    </row>
    <row r="509" spans="1:10" ht="25.5">
      <c r="A509" s="8" t="s">
        <v>151</v>
      </c>
      <c r="B509" s="1" t="s">
        <v>768</v>
      </c>
      <c r="C509" s="1" t="s">
        <v>152</v>
      </c>
      <c r="D509" s="9">
        <f>ведомство!G1898</f>
        <v>53340</v>
      </c>
      <c r="E509" s="9">
        <f>ведомство!H1898</f>
        <v>53340</v>
      </c>
      <c r="F509" s="9">
        <f>ведомство!I1898</f>
        <v>40176.74</v>
      </c>
      <c r="G509" s="9">
        <f>ведомство!J1898</f>
        <v>40176.74</v>
      </c>
      <c r="H509" s="9">
        <f>ведомство!K1898</f>
        <v>40166.626920000002</v>
      </c>
      <c r="I509" s="9">
        <f t="shared" si="250"/>
        <v>75.303012598425198</v>
      </c>
      <c r="J509" s="9">
        <f t="shared" si="251"/>
        <v>99.974828520183578</v>
      </c>
    </row>
    <row r="510" spans="1:10" ht="51">
      <c r="A510" s="8" t="s">
        <v>814</v>
      </c>
      <c r="B510" s="1" t="s">
        <v>815</v>
      </c>
      <c r="C510" s="1" t="s">
        <v>0</v>
      </c>
      <c r="D510" s="9">
        <f>D511+D513</f>
        <v>412.20000000000005</v>
      </c>
      <c r="E510" s="9">
        <f>E511+E513</f>
        <v>412.178</v>
      </c>
      <c r="F510" s="9">
        <f t="shared" ref="F510:G510" si="275">F511+F513</f>
        <v>329.3</v>
      </c>
      <c r="G510" s="9">
        <f t="shared" si="275"/>
        <v>290.048</v>
      </c>
      <c r="H510" s="9">
        <f>H511+H513</f>
        <v>290.03710000000001</v>
      </c>
      <c r="I510" s="9">
        <f t="shared" si="250"/>
        <v>70.366953112490236</v>
      </c>
      <c r="J510" s="9">
        <f t="shared" si="251"/>
        <v>88.076860006073488</v>
      </c>
    </row>
    <row r="511" spans="1:10" ht="25.5">
      <c r="A511" s="8" t="s">
        <v>64</v>
      </c>
      <c r="B511" s="1" t="s">
        <v>815</v>
      </c>
      <c r="C511" s="1" t="s">
        <v>65</v>
      </c>
      <c r="D511" s="9">
        <f>D512</f>
        <v>6.6</v>
      </c>
      <c r="E511" s="9">
        <f>E512</f>
        <v>6.6109999999999998</v>
      </c>
      <c r="F511" s="9">
        <f t="shared" ref="F511:G511" si="276">F512</f>
        <v>5.3</v>
      </c>
      <c r="G511" s="9">
        <f t="shared" si="276"/>
        <v>3.71</v>
      </c>
      <c r="H511" s="9">
        <f>H512</f>
        <v>3.69916</v>
      </c>
      <c r="I511" s="9">
        <f t="shared" si="250"/>
        <v>55.954621086068677</v>
      </c>
      <c r="J511" s="9">
        <f t="shared" si="251"/>
        <v>69.795471698113204</v>
      </c>
    </row>
    <row r="512" spans="1:10" ht="25.5">
      <c r="A512" s="8" t="s">
        <v>66</v>
      </c>
      <c r="B512" s="1" t="s">
        <v>815</v>
      </c>
      <c r="C512" s="1" t="s">
        <v>67</v>
      </c>
      <c r="D512" s="9">
        <f>ведомство!G2033</f>
        <v>6.6</v>
      </c>
      <c r="E512" s="9">
        <f>ведомство!H2033</f>
        <v>6.6109999999999998</v>
      </c>
      <c r="F512" s="9">
        <f>ведомство!I2033</f>
        <v>5.3</v>
      </c>
      <c r="G512" s="9">
        <f>ведомство!J2033</f>
        <v>3.71</v>
      </c>
      <c r="H512" s="9">
        <f>ведомство!K2033</f>
        <v>3.69916</v>
      </c>
      <c r="I512" s="9">
        <f t="shared" si="250"/>
        <v>55.954621086068677</v>
      </c>
      <c r="J512" s="9">
        <f t="shared" si="251"/>
        <v>69.795471698113204</v>
      </c>
    </row>
    <row r="513" spans="1:10">
      <c r="A513" s="8" t="s">
        <v>68</v>
      </c>
      <c r="B513" s="1" t="s">
        <v>815</v>
      </c>
      <c r="C513" s="1" t="s">
        <v>69</v>
      </c>
      <c r="D513" s="9">
        <f>D514</f>
        <v>405.6</v>
      </c>
      <c r="E513" s="9">
        <f>E514</f>
        <v>405.56700000000001</v>
      </c>
      <c r="F513" s="9">
        <f t="shared" ref="F513:G513" si="277">F514</f>
        <v>324</v>
      </c>
      <c r="G513" s="9">
        <f t="shared" si="277"/>
        <v>286.33800000000002</v>
      </c>
      <c r="H513" s="9">
        <f>H514</f>
        <v>286.33794</v>
      </c>
      <c r="I513" s="9">
        <f t="shared" si="250"/>
        <v>70.601883289320881</v>
      </c>
      <c r="J513" s="9">
        <f t="shared" si="251"/>
        <v>88.375907407407411</v>
      </c>
    </row>
    <row r="514" spans="1:10" ht="25.5">
      <c r="A514" s="8" t="s">
        <v>151</v>
      </c>
      <c r="B514" s="1" t="s">
        <v>815</v>
      </c>
      <c r="C514" s="1" t="s">
        <v>152</v>
      </c>
      <c r="D514" s="9">
        <f>ведомство!G2035</f>
        <v>405.6</v>
      </c>
      <c r="E514" s="9">
        <f>ведомство!H2035</f>
        <v>405.56700000000001</v>
      </c>
      <c r="F514" s="9">
        <f>ведомство!I2035</f>
        <v>324</v>
      </c>
      <c r="G514" s="9">
        <f>ведомство!J2035</f>
        <v>286.33800000000002</v>
      </c>
      <c r="H514" s="9">
        <f>ведомство!K2035</f>
        <v>286.33794</v>
      </c>
      <c r="I514" s="9">
        <f t="shared" si="250"/>
        <v>70.601883289320881</v>
      </c>
      <c r="J514" s="9">
        <f t="shared" si="251"/>
        <v>88.375907407407411</v>
      </c>
    </row>
    <row r="515" spans="1:10" ht="25.5">
      <c r="A515" s="8" t="s">
        <v>816</v>
      </c>
      <c r="B515" s="1" t="s">
        <v>817</v>
      </c>
      <c r="C515" s="1" t="s">
        <v>0</v>
      </c>
      <c r="D515" s="9">
        <f>D516+D518</f>
        <v>55393.700000000004</v>
      </c>
      <c r="E515" s="9">
        <f>E516+E518</f>
        <v>55393.718000000001</v>
      </c>
      <c r="F515" s="9">
        <f t="shared" ref="F515:G515" si="278">F516+F518</f>
        <v>40362.303999999996</v>
      </c>
      <c r="G515" s="9">
        <f t="shared" si="278"/>
        <v>40361.663</v>
      </c>
      <c r="H515" s="9">
        <f>H516+H518</f>
        <v>40360.16444</v>
      </c>
      <c r="I515" s="9">
        <f t="shared" si="250"/>
        <v>72.86054429493251</v>
      </c>
      <c r="J515" s="9">
        <f t="shared" si="251"/>
        <v>99.994699113311285</v>
      </c>
    </row>
    <row r="516" spans="1:10" ht="25.5">
      <c r="A516" s="8" t="s">
        <v>64</v>
      </c>
      <c r="B516" s="1" t="s">
        <v>817</v>
      </c>
      <c r="C516" s="1" t="s">
        <v>65</v>
      </c>
      <c r="D516" s="9">
        <f>D517</f>
        <v>838.4</v>
      </c>
      <c r="E516" s="9">
        <f>E517</f>
        <v>838.40200000000004</v>
      </c>
      <c r="F516" s="9">
        <f t="shared" ref="F516:G516" si="279">F517</f>
        <v>465.66399999999999</v>
      </c>
      <c r="G516" s="9">
        <f t="shared" si="279"/>
        <v>465.66399999999999</v>
      </c>
      <c r="H516" s="9">
        <f>H517</f>
        <v>465.66174000000001</v>
      </c>
      <c r="I516" s="9">
        <f t="shared" si="250"/>
        <v>55.541582677522236</v>
      </c>
      <c r="J516" s="9">
        <f t="shared" si="251"/>
        <v>99.999514671522817</v>
      </c>
    </row>
    <row r="517" spans="1:10" ht="25.5">
      <c r="A517" s="8" t="s">
        <v>66</v>
      </c>
      <c r="B517" s="1" t="s">
        <v>817</v>
      </c>
      <c r="C517" s="1" t="s">
        <v>67</v>
      </c>
      <c r="D517" s="9">
        <f>ведомство!G2038</f>
        <v>838.4</v>
      </c>
      <c r="E517" s="9">
        <f>ведомство!H2038</f>
        <v>838.40200000000004</v>
      </c>
      <c r="F517" s="9">
        <f>ведомство!I2038</f>
        <v>465.66399999999999</v>
      </c>
      <c r="G517" s="9">
        <f>ведомство!J2038</f>
        <v>465.66399999999999</v>
      </c>
      <c r="H517" s="9">
        <f>ведомство!K2038</f>
        <v>465.66174000000001</v>
      </c>
      <c r="I517" s="9">
        <f t="shared" si="250"/>
        <v>55.541582677522236</v>
      </c>
      <c r="J517" s="9">
        <f t="shared" si="251"/>
        <v>99.999514671522817</v>
      </c>
    </row>
    <row r="518" spans="1:10">
      <c r="A518" s="8" t="s">
        <v>68</v>
      </c>
      <c r="B518" s="1" t="s">
        <v>817</v>
      </c>
      <c r="C518" s="1" t="s">
        <v>69</v>
      </c>
      <c r="D518" s="9">
        <f>D519</f>
        <v>54555.3</v>
      </c>
      <c r="E518" s="9">
        <f>E519</f>
        <v>54555.315999999999</v>
      </c>
      <c r="F518" s="9">
        <f t="shared" ref="F518:G518" si="280">F519</f>
        <v>39896.639999999999</v>
      </c>
      <c r="G518" s="9">
        <f t="shared" si="280"/>
        <v>39895.999000000003</v>
      </c>
      <c r="H518" s="9">
        <f>H519</f>
        <v>39894.502699999997</v>
      </c>
      <c r="I518" s="9">
        <f t="shared" si="250"/>
        <v>73.126700796673958</v>
      </c>
      <c r="J518" s="9">
        <f t="shared" si="251"/>
        <v>99.994642907272393</v>
      </c>
    </row>
    <row r="519" spans="1:10" ht="25.5">
      <c r="A519" s="8" t="s">
        <v>151</v>
      </c>
      <c r="B519" s="1" t="s">
        <v>817</v>
      </c>
      <c r="C519" s="1" t="s">
        <v>152</v>
      </c>
      <c r="D519" s="9">
        <f>ведомство!G2040</f>
        <v>54555.3</v>
      </c>
      <c r="E519" s="9">
        <f>ведомство!H2040</f>
        <v>54555.315999999999</v>
      </c>
      <c r="F519" s="9">
        <f>ведомство!I2040</f>
        <v>39896.639999999999</v>
      </c>
      <c r="G519" s="9">
        <f>ведомство!J2040</f>
        <v>39895.999000000003</v>
      </c>
      <c r="H519" s="9">
        <f>ведомство!K2040</f>
        <v>39894.502699999997</v>
      </c>
      <c r="I519" s="9">
        <f t="shared" si="250"/>
        <v>73.126700796673958</v>
      </c>
      <c r="J519" s="9">
        <f t="shared" si="251"/>
        <v>99.994642907272393</v>
      </c>
    </row>
    <row r="520" spans="1:10">
      <c r="A520" s="8" t="s">
        <v>818</v>
      </c>
      <c r="B520" s="1" t="s">
        <v>819</v>
      </c>
      <c r="C520" s="1" t="s">
        <v>0</v>
      </c>
      <c r="D520" s="9">
        <f>D521+D523</f>
        <v>48765.599999999999</v>
      </c>
      <c r="E520" s="9">
        <f>E521+E523</f>
        <v>48765.614000000001</v>
      </c>
      <c r="F520" s="9">
        <f t="shared" ref="F520:G520" si="281">F521+F523</f>
        <v>36245.738999999994</v>
      </c>
      <c r="G520" s="9">
        <f t="shared" si="281"/>
        <v>36229.938999999998</v>
      </c>
      <c r="H520" s="9">
        <f>H521+H523</f>
        <v>35590.62803</v>
      </c>
      <c r="I520" s="9">
        <f t="shared" si="250"/>
        <v>72.983040939461972</v>
      </c>
      <c r="J520" s="9">
        <f t="shared" si="251"/>
        <v>98.192584871838335</v>
      </c>
    </row>
    <row r="521" spans="1:10" ht="25.5">
      <c r="A521" s="8" t="s">
        <v>64</v>
      </c>
      <c r="B521" s="1" t="s">
        <v>819</v>
      </c>
      <c r="C521" s="1" t="s">
        <v>65</v>
      </c>
      <c r="D521" s="9">
        <f>D522</f>
        <v>571.20000000000005</v>
      </c>
      <c r="E521" s="9">
        <f>E522</f>
        <v>571.21400000000006</v>
      </c>
      <c r="F521" s="9">
        <f t="shared" ref="F521:G521" si="282">F522</f>
        <v>402.7</v>
      </c>
      <c r="G521" s="9">
        <f t="shared" si="282"/>
        <v>386.9</v>
      </c>
      <c r="H521" s="9">
        <f>H522</f>
        <v>353.13092999999998</v>
      </c>
      <c r="I521" s="9">
        <f t="shared" si="250"/>
        <v>61.821126583031912</v>
      </c>
      <c r="J521" s="9">
        <f t="shared" si="251"/>
        <v>87.690819468587037</v>
      </c>
    </row>
    <row r="522" spans="1:10" ht="25.5">
      <c r="A522" s="8" t="s">
        <v>66</v>
      </c>
      <c r="B522" s="1" t="s">
        <v>819</v>
      </c>
      <c r="C522" s="1" t="s">
        <v>67</v>
      </c>
      <c r="D522" s="9">
        <f>ведомство!G2043</f>
        <v>571.20000000000005</v>
      </c>
      <c r="E522" s="9">
        <f>ведомство!H2043</f>
        <v>571.21400000000006</v>
      </c>
      <c r="F522" s="9">
        <f>ведомство!I2043</f>
        <v>402.7</v>
      </c>
      <c r="G522" s="9">
        <f>ведомство!J2043</f>
        <v>386.9</v>
      </c>
      <c r="H522" s="9">
        <f>ведомство!K2043</f>
        <v>353.13092999999998</v>
      </c>
      <c r="I522" s="9">
        <f t="shared" si="250"/>
        <v>61.821126583031912</v>
      </c>
      <c r="J522" s="9">
        <f t="shared" si="251"/>
        <v>87.690819468587037</v>
      </c>
    </row>
    <row r="523" spans="1:10">
      <c r="A523" s="8" t="s">
        <v>68</v>
      </c>
      <c r="B523" s="1" t="s">
        <v>819</v>
      </c>
      <c r="C523" s="1" t="s">
        <v>69</v>
      </c>
      <c r="D523" s="9">
        <f>D524</f>
        <v>48194.400000000001</v>
      </c>
      <c r="E523" s="9">
        <f>E524</f>
        <v>48194.400000000001</v>
      </c>
      <c r="F523" s="9">
        <f t="shared" ref="F523:G523" si="283">F524</f>
        <v>35843.038999999997</v>
      </c>
      <c r="G523" s="9">
        <f t="shared" si="283"/>
        <v>35843.038999999997</v>
      </c>
      <c r="H523" s="9">
        <f>H524</f>
        <v>35237.497100000001</v>
      </c>
      <c r="I523" s="9">
        <f t="shared" si="250"/>
        <v>73.115335184170775</v>
      </c>
      <c r="J523" s="9">
        <f t="shared" si="251"/>
        <v>98.310573218972877</v>
      </c>
    </row>
    <row r="524" spans="1:10" ht="25.5">
      <c r="A524" s="8" t="s">
        <v>151</v>
      </c>
      <c r="B524" s="1" t="s">
        <v>819</v>
      </c>
      <c r="C524" s="1" t="s">
        <v>152</v>
      </c>
      <c r="D524" s="9">
        <f>ведомство!G2045</f>
        <v>48194.400000000001</v>
      </c>
      <c r="E524" s="9">
        <f>ведомство!H2045</f>
        <v>48194.400000000001</v>
      </c>
      <c r="F524" s="9">
        <f>ведомство!I2045</f>
        <v>35843.038999999997</v>
      </c>
      <c r="G524" s="9">
        <f>ведомство!J2045</f>
        <v>35843.038999999997</v>
      </c>
      <c r="H524" s="9">
        <f>ведомство!K2045</f>
        <v>35237.497100000001</v>
      </c>
      <c r="I524" s="9">
        <f t="shared" si="250"/>
        <v>73.115335184170775</v>
      </c>
      <c r="J524" s="9">
        <f t="shared" si="251"/>
        <v>98.310573218972877</v>
      </c>
    </row>
    <row r="525" spans="1:10">
      <c r="A525" s="8" t="s">
        <v>870</v>
      </c>
      <c r="B525" s="1" t="s">
        <v>871</v>
      </c>
      <c r="C525" s="1" t="s">
        <v>0</v>
      </c>
      <c r="D525" s="9">
        <f>D526+D528</f>
        <v>201833</v>
      </c>
      <c r="E525" s="9">
        <f>E526+E528</f>
        <v>201832.978</v>
      </c>
      <c r="F525" s="9">
        <f t="shared" ref="F525:G525" si="284">F526+F528</f>
        <v>145374.285</v>
      </c>
      <c r="G525" s="9">
        <f t="shared" si="284"/>
        <v>145374.285</v>
      </c>
      <c r="H525" s="9">
        <f>H526+H528</f>
        <v>145342.23892</v>
      </c>
      <c r="I525" s="9">
        <f t="shared" si="250"/>
        <v>72.011145235145875</v>
      </c>
      <c r="J525" s="9">
        <f t="shared" si="251"/>
        <v>99.977956156413768</v>
      </c>
    </row>
    <row r="526" spans="1:10" ht="25.5">
      <c r="A526" s="8" t="s">
        <v>64</v>
      </c>
      <c r="B526" s="1" t="s">
        <v>871</v>
      </c>
      <c r="C526" s="1" t="s">
        <v>65</v>
      </c>
      <c r="D526" s="9">
        <f>D527</f>
        <v>2468.9</v>
      </c>
      <c r="E526" s="9">
        <f>E527</f>
        <v>2468.877</v>
      </c>
      <c r="F526" s="9">
        <f t="shared" ref="F526:G526" si="285">F527</f>
        <v>1744.6980000000001</v>
      </c>
      <c r="G526" s="9">
        <f t="shared" si="285"/>
        <v>1744.6980000000001</v>
      </c>
      <c r="H526" s="9">
        <f>H527</f>
        <v>1740.0145500000001</v>
      </c>
      <c r="I526" s="9">
        <f t="shared" si="250"/>
        <v>70.477976424098898</v>
      </c>
      <c r="J526" s="9">
        <f t="shared" si="251"/>
        <v>99.731560992217567</v>
      </c>
    </row>
    <row r="527" spans="1:10" ht="25.5">
      <c r="A527" s="8" t="s">
        <v>66</v>
      </c>
      <c r="B527" s="1" t="s">
        <v>871</v>
      </c>
      <c r="C527" s="1" t="s">
        <v>67</v>
      </c>
      <c r="D527" s="9">
        <f>ведомство!G2167</f>
        <v>2468.9</v>
      </c>
      <c r="E527" s="9">
        <f>ведомство!H2167</f>
        <v>2468.877</v>
      </c>
      <c r="F527" s="9">
        <f>ведомство!I2167</f>
        <v>1744.6980000000001</v>
      </c>
      <c r="G527" s="9">
        <f>ведомство!J2167</f>
        <v>1744.6980000000001</v>
      </c>
      <c r="H527" s="9">
        <f>ведомство!K2167</f>
        <v>1740.0145500000001</v>
      </c>
      <c r="I527" s="9">
        <f t="shared" si="250"/>
        <v>70.477976424098898</v>
      </c>
      <c r="J527" s="9">
        <f t="shared" si="251"/>
        <v>99.731560992217567</v>
      </c>
    </row>
    <row r="528" spans="1:10">
      <c r="A528" s="8" t="s">
        <v>68</v>
      </c>
      <c r="B528" s="1" t="s">
        <v>871</v>
      </c>
      <c r="C528" s="1" t="s">
        <v>69</v>
      </c>
      <c r="D528" s="9">
        <f>D529</f>
        <v>199364.1</v>
      </c>
      <c r="E528" s="9">
        <f>E529</f>
        <v>199364.101</v>
      </c>
      <c r="F528" s="9">
        <f t="shared" ref="F528:G528" si="286">F529</f>
        <v>143629.587</v>
      </c>
      <c r="G528" s="9">
        <f t="shared" si="286"/>
        <v>143629.587</v>
      </c>
      <c r="H528" s="9">
        <f>H529</f>
        <v>143602.22437000001</v>
      </c>
      <c r="I528" s="9">
        <f t="shared" si="250"/>
        <v>72.03013162836173</v>
      </c>
      <c r="J528" s="9">
        <f t="shared" si="251"/>
        <v>99.980949168920191</v>
      </c>
    </row>
    <row r="529" spans="1:10">
      <c r="A529" s="8" t="s">
        <v>463</v>
      </c>
      <c r="B529" s="1" t="s">
        <v>871</v>
      </c>
      <c r="C529" s="1" t="s">
        <v>464</v>
      </c>
      <c r="D529" s="9">
        <f>ведомство!G2169</f>
        <v>199364.1</v>
      </c>
      <c r="E529" s="9">
        <f>ведомство!H2169</f>
        <v>199364.101</v>
      </c>
      <c r="F529" s="9">
        <f>ведомство!I2169</f>
        <v>143629.587</v>
      </c>
      <c r="G529" s="9">
        <f>ведомство!J2169</f>
        <v>143629.587</v>
      </c>
      <c r="H529" s="9">
        <f>ведомство!K2169</f>
        <v>143602.22437000001</v>
      </c>
      <c r="I529" s="9">
        <f t="shared" si="250"/>
        <v>72.03013162836173</v>
      </c>
      <c r="J529" s="9">
        <f t="shared" si="251"/>
        <v>99.980949168920191</v>
      </c>
    </row>
    <row r="530" spans="1:10">
      <c r="A530" s="8" t="s">
        <v>820</v>
      </c>
      <c r="B530" s="1" t="s">
        <v>821</v>
      </c>
      <c r="C530" s="1" t="s">
        <v>0</v>
      </c>
      <c r="D530" s="9">
        <f>D531+D533</f>
        <v>1479413.2</v>
      </c>
      <c r="E530" s="9">
        <f>E531+E533</f>
        <v>1479413.223</v>
      </c>
      <c r="F530" s="9">
        <f t="shared" ref="F530:G530" si="287">F531+F533</f>
        <v>1133124.4780700002</v>
      </c>
      <c r="G530" s="9">
        <f t="shared" si="287"/>
        <v>1133124.4780700002</v>
      </c>
      <c r="H530" s="9">
        <f>H531+H533</f>
        <v>1133053.4216700001</v>
      </c>
      <c r="I530" s="9">
        <f t="shared" si="250"/>
        <v>76.588028554480474</v>
      </c>
      <c r="J530" s="9">
        <f t="shared" si="251"/>
        <v>99.993729162031599</v>
      </c>
    </row>
    <row r="531" spans="1:10" ht="25.5">
      <c r="A531" s="8" t="s">
        <v>64</v>
      </c>
      <c r="B531" s="1" t="s">
        <v>821</v>
      </c>
      <c r="C531" s="1" t="s">
        <v>65</v>
      </c>
      <c r="D531" s="9">
        <f>D532</f>
        <v>20651</v>
      </c>
      <c r="E531" s="9">
        <f>E532</f>
        <v>20650.983</v>
      </c>
      <c r="F531" s="9">
        <f t="shared" ref="F531:G531" si="288">F532</f>
        <v>15707.89437</v>
      </c>
      <c r="G531" s="9">
        <f t="shared" si="288"/>
        <v>15707.89437</v>
      </c>
      <c r="H531" s="9">
        <f>H532</f>
        <v>15707.4493</v>
      </c>
      <c r="I531" s="9">
        <f t="shared" ref="I531:I594" si="289">H531/E531*100</f>
        <v>76.061509033250374</v>
      </c>
      <c r="J531" s="9">
        <f t="shared" ref="J531:J594" si="290">H531/F531*100</f>
        <v>99.997166583951255</v>
      </c>
    </row>
    <row r="532" spans="1:10" ht="25.5">
      <c r="A532" s="8" t="s">
        <v>66</v>
      </c>
      <c r="B532" s="1" t="s">
        <v>821</v>
      </c>
      <c r="C532" s="1" t="s">
        <v>67</v>
      </c>
      <c r="D532" s="9">
        <f>ведомство!G2048</f>
        <v>20651</v>
      </c>
      <c r="E532" s="9">
        <f>ведомство!H2048</f>
        <v>20650.983</v>
      </c>
      <c r="F532" s="9">
        <f>ведомство!I2048</f>
        <v>15707.89437</v>
      </c>
      <c r="G532" s="9">
        <f>ведомство!J2048</f>
        <v>15707.89437</v>
      </c>
      <c r="H532" s="9">
        <f>ведомство!K2048</f>
        <v>15707.4493</v>
      </c>
      <c r="I532" s="9">
        <f t="shared" si="289"/>
        <v>76.061509033250374</v>
      </c>
      <c r="J532" s="9">
        <f t="shared" si="290"/>
        <v>99.997166583951255</v>
      </c>
    </row>
    <row r="533" spans="1:10">
      <c r="A533" s="8" t="s">
        <v>68</v>
      </c>
      <c r="B533" s="1" t="s">
        <v>821</v>
      </c>
      <c r="C533" s="1" t="s">
        <v>69</v>
      </c>
      <c r="D533" s="9">
        <f>D534</f>
        <v>1458762.2</v>
      </c>
      <c r="E533" s="9">
        <f>E534</f>
        <v>1458762.24</v>
      </c>
      <c r="F533" s="9">
        <f t="shared" ref="F533:G533" si="291">F534</f>
        <v>1117416.5837000001</v>
      </c>
      <c r="G533" s="9">
        <f t="shared" si="291"/>
        <v>1117416.5837000001</v>
      </c>
      <c r="H533" s="9">
        <f>H534</f>
        <v>1117345.9723700001</v>
      </c>
      <c r="I533" s="9">
        <f t="shared" si="289"/>
        <v>76.595482233622946</v>
      </c>
      <c r="J533" s="9">
        <f t="shared" si="290"/>
        <v>99.993680841055166</v>
      </c>
    </row>
    <row r="534" spans="1:10">
      <c r="A534" s="8" t="s">
        <v>463</v>
      </c>
      <c r="B534" s="1" t="s">
        <v>821</v>
      </c>
      <c r="C534" s="1" t="s">
        <v>464</v>
      </c>
      <c r="D534" s="9">
        <f>ведомство!G2050</f>
        <v>1458762.2</v>
      </c>
      <c r="E534" s="9">
        <f>ведомство!H2050</f>
        <v>1458762.24</v>
      </c>
      <c r="F534" s="9">
        <f>ведомство!I2050</f>
        <v>1117416.5837000001</v>
      </c>
      <c r="G534" s="9">
        <f>ведомство!J2050</f>
        <v>1117416.5837000001</v>
      </c>
      <c r="H534" s="9">
        <f>ведомство!K2050</f>
        <v>1117345.9723700001</v>
      </c>
      <c r="I534" s="9">
        <f t="shared" si="289"/>
        <v>76.595482233622946</v>
      </c>
      <c r="J534" s="9">
        <f t="shared" si="290"/>
        <v>99.993680841055166</v>
      </c>
    </row>
    <row r="535" spans="1:10">
      <c r="A535" s="8" t="s">
        <v>822</v>
      </c>
      <c r="B535" s="1" t="s">
        <v>823</v>
      </c>
      <c r="C535" s="1" t="s">
        <v>0</v>
      </c>
      <c r="D535" s="9">
        <f>D536+D538</f>
        <v>267</v>
      </c>
      <c r="E535" s="9">
        <f>E536+E538</f>
        <v>267.02199999999999</v>
      </c>
      <c r="F535" s="9">
        <f t="shared" ref="F535:G535" si="292">F536+F538</f>
        <v>183.15</v>
      </c>
      <c r="G535" s="9">
        <f t="shared" si="292"/>
        <v>159.065</v>
      </c>
      <c r="H535" s="9">
        <f>H536+H538</f>
        <v>159.03831</v>
      </c>
      <c r="I535" s="9">
        <f t="shared" si="289"/>
        <v>59.560002546606647</v>
      </c>
      <c r="J535" s="9">
        <f t="shared" si="290"/>
        <v>86.835004095004081</v>
      </c>
    </row>
    <row r="536" spans="1:10" ht="25.5">
      <c r="A536" s="8" t="s">
        <v>64</v>
      </c>
      <c r="B536" s="1" t="s">
        <v>823</v>
      </c>
      <c r="C536" s="1" t="s">
        <v>65</v>
      </c>
      <c r="D536" s="9">
        <f>D537</f>
        <v>4.4000000000000004</v>
      </c>
      <c r="E536" s="9">
        <f>E537</f>
        <v>4.3780000000000001</v>
      </c>
      <c r="F536" s="9">
        <f t="shared" ref="F536:G536" si="293">F537</f>
        <v>3.15</v>
      </c>
      <c r="G536" s="9">
        <f t="shared" si="293"/>
        <v>2.657</v>
      </c>
      <c r="H536" s="9">
        <f>H537</f>
        <v>2.6303100000000001</v>
      </c>
      <c r="I536" s="9">
        <f t="shared" si="289"/>
        <v>60.080173595248979</v>
      </c>
      <c r="J536" s="9">
        <f t="shared" si="290"/>
        <v>83.501904761904768</v>
      </c>
    </row>
    <row r="537" spans="1:10" ht="25.5">
      <c r="A537" s="8" t="s">
        <v>66</v>
      </c>
      <c r="B537" s="1" t="s">
        <v>823</v>
      </c>
      <c r="C537" s="1" t="s">
        <v>67</v>
      </c>
      <c r="D537" s="9">
        <f>ведомство!G2053</f>
        <v>4.4000000000000004</v>
      </c>
      <c r="E537" s="9">
        <f>ведомство!H2053</f>
        <v>4.3780000000000001</v>
      </c>
      <c r="F537" s="9">
        <f>ведомство!I2053</f>
        <v>3.15</v>
      </c>
      <c r="G537" s="9">
        <f>ведомство!J2053</f>
        <v>2.657</v>
      </c>
      <c r="H537" s="9">
        <f>ведомство!K2053</f>
        <v>2.6303100000000001</v>
      </c>
      <c r="I537" s="9">
        <f t="shared" si="289"/>
        <v>60.080173595248979</v>
      </c>
      <c r="J537" s="9">
        <f t="shared" si="290"/>
        <v>83.501904761904768</v>
      </c>
    </row>
    <row r="538" spans="1:10">
      <c r="A538" s="8" t="s">
        <v>68</v>
      </c>
      <c r="B538" s="1" t="s">
        <v>823</v>
      </c>
      <c r="C538" s="1" t="s">
        <v>69</v>
      </c>
      <c r="D538" s="9">
        <f>D539</f>
        <v>262.60000000000002</v>
      </c>
      <c r="E538" s="9">
        <f>E539</f>
        <v>262.64400000000001</v>
      </c>
      <c r="F538" s="9">
        <f t="shared" ref="F538:G538" si="294">F539</f>
        <v>180</v>
      </c>
      <c r="G538" s="9">
        <f t="shared" si="294"/>
        <v>156.40799999999999</v>
      </c>
      <c r="H538" s="9">
        <f>H539</f>
        <v>156.40799999999999</v>
      </c>
      <c r="I538" s="9">
        <f t="shared" si="289"/>
        <v>59.551331840818747</v>
      </c>
      <c r="J538" s="9">
        <f t="shared" si="290"/>
        <v>86.893333333333317</v>
      </c>
    </row>
    <row r="539" spans="1:10">
      <c r="A539" s="8" t="s">
        <v>463</v>
      </c>
      <c r="B539" s="1" t="s">
        <v>823</v>
      </c>
      <c r="C539" s="1" t="s">
        <v>464</v>
      </c>
      <c r="D539" s="9">
        <f>ведомство!G2055</f>
        <v>262.60000000000002</v>
      </c>
      <c r="E539" s="9">
        <f>ведомство!H2055</f>
        <v>262.64400000000001</v>
      </c>
      <c r="F539" s="9">
        <f>ведомство!I2055</f>
        <v>180</v>
      </c>
      <c r="G539" s="9">
        <f>ведомство!J2055</f>
        <v>156.40799999999999</v>
      </c>
      <c r="H539" s="9">
        <f>ведомство!K2055</f>
        <v>156.40799999999999</v>
      </c>
      <c r="I539" s="9">
        <f t="shared" si="289"/>
        <v>59.551331840818747</v>
      </c>
      <c r="J539" s="9">
        <f t="shared" si="290"/>
        <v>86.893333333333317</v>
      </c>
    </row>
    <row r="540" spans="1:10" ht="25.5">
      <c r="A540" s="8" t="s">
        <v>824</v>
      </c>
      <c r="B540" s="1" t="s">
        <v>825</v>
      </c>
      <c r="C540" s="1" t="s">
        <v>0</v>
      </c>
      <c r="D540" s="9">
        <f>D541+D543</f>
        <v>11232.400000000001</v>
      </c>
      <c r="E540" s="9">
        <f>E541+E543</f>
        <v>11232.387000000001</v>
      </c>
      <c r="F540" s="9">
        <f t="shared" ref="F540:G540" si="295">F541+F543</f>
        <v>8369.0847900000008</v>
      </c>
      <c r="G540" s="9">
        <f t="shared" si="295"/>
        <v>8360.62032</v>
      </c>
      <c r="H540" s="9">
        <f>H541+H543</f>
        <v>8360.61888</v>
      </c>
      <c r="I540" s="9">
        <f t="shared" si="289"/>
        <v>74.433144798162658</v>
      </c>
      <c r="J540" s="9">
        <f t="shared" si="290"/>
        <v>99.898843060950753</v>
      </c>
    </row>
    <row r="541" spans="1:10" ht="25.5">
      <c r="A541" s="8" t="s">
        <v>64</v>
      </c>
      <c r="B541" s="1" t="s">
        <v>825</v>
      </c>
      <c r="C541" s="1" t="s">
        <v>65</v>
      </c>
      <c r="D541" s="9">
        <f>D542</f>
        <v>173.2</v>
      </c>
      <c r="E541" s="9">
        <f>E542</f>
        <v>173.18700000000001</v>
      </c>
      <c r="F541" s="9">
        <f t="shared" ref="F541:G541" si="296">F542</f>
        <v>135.33000000000001</v>
      </c>
      <c r="G541" s="9">
        <f t="shared" si="296"/>
        <v>126.86553000000001</v>
      </c>
      <c r="H541" s="9">
        <f>H542</f>
        <v>126.86501</v>
      </c>
      <c r="I541" s="9">
        <f t="shared" si="289"/>
        <v>73.253194523838388</v>
      </c>
      <c r="J541" s="9">
        <f t="shared" si="290"/>
        <v>93.744927214956022</v>
      </c>
    </row>
    <row r="542" spans="1:10" ht="25.5">
      <c r="A542" s="8" t="s">
        <v>66</v>
      </c>
      <c r="B542" s="1" t="s">
        <v>825</v>
      </c>
      <c r="C542" s="1" t="s">
        <v>67</v>
      </c>
      <c r="D542" s="9">
        <f>ведомство!G2058</f>
        <v>173.2</v>
      </c>
      <c r="E542" s="9">
        <f>ведомство!H2058</f>
        <v>173.18700000000001</v>
      </c>
      <c r="F542" s="9">
        <f>ведомство!I2058</f>
        <v>135.33000000000001</v>
      </c>
      <c r="G542" s="9">
        <f>ведомство!J2058</f>
        <v>126.86553000000001</v>
      </c>
      <c r="H542" s="9">
        <f>ведомство!K2058</f>
        <v>126.86501</v>
      </c>
      <c r="I542" s="9">
        <f t="shared" si="289"/>
        <v>73.253194523838388</v>
      </c>
      <c r="J542" s="9">
        <f t="shared" si="290"/>
        <v>93.744927214956022</v>
      </c>
    </row>
    <row r="543" spans="1:10">
      <c r="A543" s="8" t="s">
        <v>68</v>
      </c>
      <c r="B543" s="1" t="s">
        <v>825</v>
      </c>
      <c r="C543" s="1" t="s">
        <v>69</v>
      </c>
      <c r="D543" s="9">
        <f>D544</f>
        <v>11059.2</v>
      </c>
      <c r="E543" s="9">
        <f>E544</f>
        <v>11059.2</v>
      </c>
      <c r="F543" s="9">
        <f t="shared" ref="F543:G543" si="297">F544</f>
        <v>8233.7547900000009</v>
      </c>
      <c r="G543" s="9">
        <f t="shared" si="297"/>
        <v>8233.7547900000009</v>
      </c>
      <c r="H543" s="9">
        <f>H544</f>
        <v>8233.7538700000005</v>
      </c>
      <c r="I543" s="9">
        <f t="shared" si="289"/>
        <v>74.451622811776616</v>
      </c>
      <c r="J543" s="9">
        <f t="shared" si="290"/>
        <v>99.999988826482891</v>
      </c>
    </row>
    <row r="544" spans="1:10">
      <c r="A544" s="8" t="s">
        <v>463</v>
      </c>
      <c r="B544" s="1" t="s">
        <v>825</v>
      </c>
      <c r="C544" s="1" t="s">
        <v>464</v>
      </c>
      <c r="D544" s="9">
        <f>ведомство!G2060</f>
        <v>11059.2</v>
      </c>
      <c r="E544" s="9">
        <f>ведомство!H2060</f>
        <v>11059.2</v>
      </c>
      <c r="F544" s="9">
        <f>ведомство!I2060</f>
        <v>8233.7547900000009</v>
      </c>
      <c r="G544" s="9">
        <f>ведомство!J2060</f>
        <v>8233.7547900000009</v>
      </c>
      <c r="H544" s="9">
        <f>ведомство!K2060</f>
        <v>8233.7538700000005</v>
      </c>
      <c r="I544" s="9">
        <f t="shared" si="289"/>
        <v>74.451622811776616</v>
      </c>
      <c r="J544" s="9">
        <f t="shared" si="290"/>
        <v>99.999988826482891</v>
      </c>
    </row>
    <row r="545" spans="1:10" ht="25.5">
      <c r="A545" s="8" t="s">
        <v>872</v>
      </c>
      <c r="B545" s="1" t="s">
        <v>873</v>
      </c>
      <c r="C545" s="1" t="s">
        <v>0</v>
      </c>
      <c r="D545" s="9">
        <f>D546+D548</f>
        <v>185452.30000000002</v>
      </c>
      <c r="E545" s="9">
        <f>E546+E548</f>
        <v>185452.31600000002</v>
      </c>
      <c r="F545" s="9">
        <f t="shared" ref="F545:G545" si="298">F546+F548</f>
        <v>166537.66999999998</v>
      </c>
      <c r="G545" s="9">
        <f t="shared" si="298"/>
        <v>166537.66999999998</v>
      </c>
      <c r="H545" s="9">
        <f>H546+H548</f>
        <v>166487.15349</v>
      </c>
      <c r="I545" s="9">
        <f t="shared" si="289"/>
        <v>89.773563944059873</v>
      </c>
      <c r="J545" s="9">
        <f t="shared" si="290"/>
        <v>99.969666616567892</v>
      </c>
    </row>
    <row r="546" spans="1:10" ht="25.5">
      <c r="A546" s="8" t="s">
        <v>64</v>
      </c>
      <c r="B546" s="1" t="s">
        <v>873</v>
      </c>
      <c r="C546" s="1" t="s">
        <v>65</v>
      </c>
      <c r="D546" s="9">
        <f>D547</f>
        <v>3948.6</v>
      </c>
      <c r="E546" s="9">
        <f>E547</f>
        <v>3948.616</v>
      </c>
      <c r="F546" s="9">
        <f t="shared" ref="F546:G546" si="299">F547</f>
        <v>1846.9079999999999</v>
      </c>
      <c r="G546" s="9">
        <f t="shared" si="299"/>
        <v>1846.9079999999999</v>
      </c>
      <c r="H546" s="9">
        <f>H547</f>
        <v>1804.3926200000001</v>
      </c>
      <c r="I546" s="9">
        <f t="shared" si="289"/>
        <v>45.696837068988231</v>
      </c>
      <c r="J546" s="9">
        <f t="shared" si="290"/>
        <v>97.698023940553625</v>
      </c>
    </row>
    <row r="547" spans="1:10" ht="25.5">
      <c r="A547" s="8" t="s">
        <v>66</v>
      </c>
      <c r="B547" s="1" t="s">
        <v>873</v>
      </c>
      <c r="C547" s="1" t="s">
        <v>67</v>
      </c>
      <c r="D547" s="9">
        <f>ведомство!G2172</f>
        <v>3948.6</v>
      </c>
      <c r="E547" s="9">
        <f>ведомство!H2172</f>
        <v>3948.616</v>
      </c>
      <c r="F547" s="9">
        <f>ведомство!I2172</f>
        <v>1846.9079999999999</v>
      </c>
      <c r="G547" s="9">
        <f>ведомство!J2172</f>
        <v>1846.9079999999999</v>
      </c>
      <c r="H547" s="9">
        <f>ведомство!K2172</f>
        <v>1804.3926200000001</v>
      </c>
      <c r="I547" s="9">
        <f t="shared" si="289"/>
        <v>45.696837068988231</v>
      </c>
      <c r="J547" s="9">
        <f t="shared" si="290"/>
        <v>97.698023940553625</v>
      </c>
    </row>
    <row r="548" spans="1:10">
      <c r="A548" s="8" t="s">
        <v>68</v>
      </c>
      <c r="B548" s="1" t="s">
        <v>873</v>
      </c>
      <c r="C548" s="1" t="s">
        <v>69</v>
      </c>
      <c r="D548" s="9">
        <f>D549</f>
        <v>181503.7</v>
      </c>
      <c r="E548" s="9">
        <f>E549</f>
        <v>181503.7</v>
      </c>
      <c r="F548" s="9">
        <f t="shared" ref="F548:G548" si="300">F549</f>
        <v>164690.76199999999</v>
      </c>
      <c r="G548" s="9">
        <f t="shared" si="300"/>
        <v>164690.76199999999</v>
      </c>
      <c r="H548" s="9">
        <f>H549</f>
        <v>164682.76087</v>
      </c>
      <c r="I548" s="9">
        <f t="shared" si="289"/>
        <v>90.732453867331614</v>
      </c>
      <c r="J548" s="9">
        <f t="shared" si="290"/>
        <v>99.995141725071392</v>
      </c>
    </row>
    <row r="549" spans="1:10">
      <c r="A549" s="8" t="s">
        <v>463</v>
      </c>
      <c r="B549" s="1" t="s">
        <v>873</v>
      </c>
      <c r="C549" s="1" t="s">
        <v>464</v>
      </c>
      <c r="D549" s="9">
        <f>ведомство!G2174</f>
        <v>181503.7</v>
      </c>
      <c r="E549" s="9">
        <f>ведомство!H2174</f>
        <v>181503.7</v>
      </c>
      <c r="F549" s="9">
        <f>ведомство!I2174</f>
        <v>164690.76199999999</v>
      </c>
      <c r="G549" s="9">
        <f>ведомство!J2174</f>
        <v>164690.76199999999</v>
      </c>
      <c r="H549" s="9">
        <f>ведомство!K2174</f>
        <v>164682.76087</v>
      </c>
      <c r="I549" s="9">
        <f t="shared" si="289"/>
        <v>90.732453867331614</v>
      </c>
      <c r="J549" s="9">
        <f t="shared" si="290"/>
        <v>99.995141725071392</v>
      </c>
    </row>
    <row r="550" spans="1:10" ht="38.25">
      <c r="A550" s="8" t="s">
        <v>826</v>
      </c>
      <c r="B550" s="1" t="s">
        <v>827</v>
      </c>
      <c r="C550" s="1" t="s">
        <v>0</v>
      </c>
      <c r="D550" s="9">
        <f>D551+D553</f>
        <v>60.4</v>
      </c>
      <c r="E550" s="9">
        <f>E551+E553</f>
        <v>60.367999999999995</v>
      </c>
      <c r="F550" s="9">
        <f t="shared" ref="F550:G550" si="301">F551+F553</f>
        <v>45.287999999999997</v>
      </c>
      <c r="G550" s="9">
        <f t="shared" si="301"/>
        <v>41.513999999999996</v>
      </c>
      <c r="H550" s="9">
        <f>H551+H553</f>
        <v>41.51249</v>
      </c>
      <c r="I550" s="9">
        <f t="shared" si="289"/>
        <v>68.765720249138624</v>
      </c>
      <c r="J550" s="9">
        <f t="shared" si="290"/>
        <v>91.663332450097158</v>
      </c>
    </row>
    <row r="551" spans="1:10" ht="25.5">
      <c r="A551" s="8" t="s">
        <v>64</v>
      </c>
      <c r="B551" s="1" t="s">
        <v>827</v>
      </c>
      <c r="C551" s="1" t="s">
        <v>65</v>
      </c>
      <c r="D551" s="9">
        <f>D552</f>
        <v>1</v>
      </c>
      <c r="E551" s="9">
        <f>E552</f>
        <v>0.96799999999999997</v>
      </c>
      <c r="F551" s="9">
        <f t="shared" ref="F551:G551" si="302">F552</f>
        <v>0.73799999999999999</v>
      </c>
      <c r="G551" s="9">
        <f t="shared" si="302"/>
        <v>0.57099999999999995</v>
      </c>
      <c r="H551" s="9">
        <f>H552</f>
        <v>0.56950000000000001</v>
      </c>
      <c r="I551" s="9">
        <f t="shared" si="289"/>
        <v>58.832644628099175</v>
      </c>
      <c r="J551" s="9">
        <f t="shared" si="290"/>
        <v>77.168021680216796</v>
      </c>
    </row>
    <row r="552" spans="1:10" ht="25.5">
      <c r="A552" s="8" t="s">
        <v>66</v>
      </c>
      <c r="B552" s="1" t="s">
        <v>827</v>
      </c>
      <c r="C552" s="1" t="s">
        <v>67</v>
      </c>
      <c r="D552" s="9">
        <f>ведомство!G2063</f>
        <v>1</v>
      </c>
      <c r="E552" s="9">
        <f>ведомство!H2063</f>
        <v>0.96799999999999997</v>
      </c>
      <c r="F552" s="9">
        <f>ведомство!I2063</f>
        <v>0.73799999999999999</v>
      </c>
      <c r="G552" s="9">
        <f>ведомство!J2063</f>
        <v>0.57099999999999995</v>
      </c>
      <c r="H552" s="9">
        <f>ведомство!K2063</f>
        <v>0.56950000000000001</v>
      </c>
      <c r="I552" s="9">
        <f t="shared" si="289"/>
        <v>58.832644628099175</v>
      </c>
      <c r="J552" s="9">
        <f t="shared" si="290"/>
        <v>77.168021680216796</v>
      </c>
    </row>
    <row r="553" spans="1:10">
      <c r="A553" s="8" t="s">
        <v>68</v>
      </c>
      <c r="B553" s="1" t="s">
        <v>827</v>
      </c>
      <c r="C553" s="1" t="s">
        <v>69</v>
      </c>
      <c r="D553" s="9">
        <f>D554</f>
        <v>59.4</v>
      </c>
      <c r="E553" s="9">
        <f>E554</f>
        <v>59.4</v>
      </c>
      <c r="F553" s="9">
        <f t="shared" ref="F553:G553" si="303">F554</f>
        <v>44.55</v>
      </c>
      <c r="G553" s="9">
        <f t="shared" si="303"/>
        <v>40.942999999999998</v>
      </c>
      <c r="H553" s="9">
        <f>H554</f>
        <v>40.942990000000002</v>
      </c>
      <c r="I553" s="9">
        <f t="shared" si="289"/>
        <v>68.927592592592603</v>
      </c>
      <c r="J553" s="9">
        <f t="shared" si="290"/>
        <v>91.903456790123457</v>
      </c>
    </row>
    <row r="554" spans="1:10">
      <c r="A554" s="8" t="s">
        <v>463</v>
      </c>
      <c r="B554" s="1" t="s">
        <v>827</v>
      </c>
      <c r="C554" s="1" t="s">
        <v>464</v>
      </c>
      <c r="D554" s="9">
        <f>ведомство!G2065</f>
        <v>59.4</v>
      </c>
      <c r="E554" s="9">
        <f>ведомство!H2065</f>
        <v>59.4</v>
      </c>
      <c r="F554" s="9">
        <f>ведомство!I2065</f>
        <v>44.55</v>
      </c>
      <c r="G554" s="9">
        <f>ведомство!J2065</f>
        <v>40.942999999999998</v>
      </c>
      <c r="H554" s="9">
        <f>ведомство!K2065</f>
        <v>40.942990000000002</v>
      </c>
      <c r="I554" s="9">
        <f t="shared" si="289"/>
        <v>68.927592592592603</v>
      </c>
      <c r="J554" s="9">
        <f t="shared" si="290"/>
        <v>91.903456790123457</v>
      </c>
    </row>
    <row r="555" spans="1:10" ht="38.25">
      <c r="A555" s="8" t="s">
        <v>828</v>
      </c>
      <c r="B555" s="1" t="s">
        <v>829</v>
      </c>
      <c r="C555" s="1" t="s">
        <v>0</v>
      </c>
      <c r="D555" s="9">
        <f>D556+D558</f>
        <v>1661.4</v>
      </c>
      <c r="E555" s="9">
        <f>E556+E558</f>
        <v>1661.402</v>
      </c>
      <c r="F555" s="9">
        <f t="shared" ref="F555:G555" si="304">F556+F558</f>
        <v>50.217500000000001</v>
      </c>
      <c r="G555" s="9">
        <f t="shared" si="304"/>
        <v>50.217500000000001</v>
      </c>
      <c r="H555" s="9">
        <f>H556+H558</f>
        <v>50.217500000000001</v>
      </c>
      <c r="I555" s="9">
        <f t="shared" si="289"/>
        <v>3.0225977818733818</v>
      </c>
      <c r="J555" s="9">
        <f t="shared" si="290"/>
        <v>100</v>
      </c>
    </row>
    <row r="556" spans="1:10" ht="25.5">
      <c r="A556" s="8" t="s">
        <v>64</v>
      </c>
      <c r="B556" s="1" t="s">
        <v>829</v>
      </c>
      <c r="C556" s="1" t="s">
        <v>65</v>
      </c>
      <c r="D556" s="9">
        <f>D557</f>
        <v>21.4</v>
      </c>
      <c r="E556" s="9">
        <f>E557</f>
        <v>21.402000000000001</v>
      </c>
      <c r="F556" s="9">
        <f t="shared" ref="F556:G556" si="305">F557</f>
        <v>0.2175</v>
      </c>
      <c r="G556" s="9">
        <f t="shared" si="305"/>
        <v>0.2175</v>
      </c>
      <c r="H556" s="9">
        <f>H557</f>
        <v>0.2175</v>
      </c>
      <c r="I556" s="9">
        <f t="shared" si="289"/>
        <v>1.0162601626016259</v>
      </c>
      <c r="J556" s="9">
        <f t="shared" si="290"/>
        <v>100</v>
      </c>
    </row>
    <row r="557" spans="1:10" ht="25.5">
      <c r="A557" s="8" t="s">
        <v>66</v>
      </c>
      <c r="B557" s="1" t="s">
        <v>829</v>
      </c>
      <c r="C557" s="1" t="s">
        <v>67</v>
      </c>
      <c r="D557" s="9">
        <f>ведомство!G2068</f>
        <v>21.4</v>
      </c>
      <c r="E557" s="9">
        <f>ведомство!H2068</f>
        <v>21.402000000000001</v>
      </c>
      <c r="F557" s="9">
        <f>ведомство!I2068</f>
        <v>0.2175</v>
      </c>
      <c r="G557" s="9">
        <f>ведомство!J2068</f>
        <v>0.2175</v>
      </c>
      <c r="H557" s="9">
        <f>ведомство!K2068</f>
        <v>0.2175</v>
      </c>
      <c r="I557" s="9">
        <f t="shared" si="289"/>
        <v>1.0162601626016259</v>
      </c>
      <c r="J557" s="9">
        <f t="shared" si="290"/>
        <v>100</v>
      </c>
    </row>
    <row r="558" spans="1:10">
      <c r="A558" s="8" t="s">
        <v>68</v>
      </c>
      <c r="B558" s="1" t="s">
        <v>829</v>
      </c>
      <c r="C558" s="1" t="s">
        <v>69</v>
      </c>
      <c r="D558" s="9">
        <f>D559</f>
        <v>1640</v>
      </c>
      <c r="E558" s="9">
        <f>E559</f>
        <v>1640</v>
      </c>
      <c r="F558" s="9">
        <f t="shared" ref="F558:G558" si="306">F559</f>
        <v>50</v>
      </c>
      <c r="G558" s="9">
        <f t="shared" si="306"/>
        <v>50</v>
      </c>
      <c r="H558" s="9">
        <f>H559</f>
        <v>50</v>
      </c>
      <c r="I558" s="9">
        <f t="shared" si="289"/>
        <v>3.0487804878048781</v>
      </c>
      <c r="J558" s="9">
        <f t="shared" si="290"/>
        <v>100</v>
      </c>
    </row>
    <row r="559" spans="1:10" ht="25.5">
      <c r="A559" s="8" t="s">
        <v>830</v>
      </c>
      <c r="B559" s="1" t="s">
        <v>829</v>
      </c>
      <c r="C559" s="1" t="s">
        <v>831</v>
      </c>
      <c r="D559" s="9">
        <f>ведомство!G2070</f>
        <v>1640</v>
      </c>
      <c r="E559" s="9">
        <f>ведомство!H2070</f>
        <v>1640</v>
      </c>
      <c r="F559" s="9">
        <f>ведомство!I2070</f>
        <v>50</v>
      </c>
      <c r="G559" s="9">
        <f>ведомство!J2070</f>
        <v>50</v>
      </c>
      <c r="H559" s="9">
        <f>ведомство!K2070</f>
        <v>50</v>
      </c>
      <c r="I559" s="9">
        <f t="shared" si="289"/>
        <v>3.0487804878048781</v>
      </c>
      <c r="J559" s="9">
        <f t="shared" si="290"/>
        <v>100</v>
      </c>
    </row>
    <row r="560" spans="1:10" ht="25.5">
      <c r="A560" s="8" t="s">
        <v>832</v>
      </c>
      <c r="B560" s="1" t="s">
        <v>833</v>
      </c>
      <c r="C560" s="1" t="s">
        <v>0</v>
      </c>
      <c r="D560" s="9">
        <f>D561+D563</f>
        <v>291389</v>
      </c>
      <c r="E560" s="9">
        <f>E561+E563</f>
        <v>291388.951</v>
      </c>
      <c r="F560" s="9">
        <f t="shared" ref="F560:G560" si="307">F561+F563</f>
        <v>240396.82010000001</v>
      </c>
      <c r="G560" s="9">
        <f t="shared" si="307"/>
        <v>240331.82010000001</v>
      </c>
      <c r="H560" s="9">
        <f>H561+H563</f>
        <v>240327.95904000002</v>
      </c>
      <c r="I560" s="9">
        <f t="shared" si="289"/>
        <v>82.476689049201454</v>
      </c>
      <c r="J560" s="9">
        <f t="shared" si="290"/>
        <v>99.971355253380082</v>
      </c>
    </row>
    <row r="561" spans="1:10" ht="25.5">
      <c r="A561" s="8" t="s">
        <v>64</v>
      </c>
      <c r="B561" s="1" t="s">
        <v>833</v>
      </c>
      <c r="C561" s="1" t="s">
        <v>65</v>
      </c>
      <c r="D561" s="9">
        <f>D562</f>
        <v>3032.6</v>
      </c>
      <c r="E561" s="9">
        <f>E562</f>
        <v>3032.5819999999999</v>
      </c>
      <c r="F561" s="9">
        <f t="shared" ref="F561:G561" si="308">F562</f>
        <v>2003.7091</v>
      </c>
      <c r="G561" s="9">
        <f t="shared" si="308"/>
        <v>1938.7091</v>
      </c>
      <c r="H561" s="9">
        <f>H562</f>
        <v>1935.2347199999999</v>
      </c>
      <c r="I561" s="9">
        <f t="shared" si="289"/>
        <v>63.814753236680822</v>
      </c>
      <c r="J561" s="9">
        <f t="shared" si="290"/>
        <v>96.58261870448159</v>
      </c>
    </row>
    <row r="562" spans="1:10" ht="25.5">
      <c r="A562" s="8" t="s">
        <v>66</v>
      </c>
      <c r="B562" s="1" t="s">
        <v>833</v>
      </c>
      <c r="C562" s="1" t="s">
        <v>67</v>
      </c>
      <c r="D562" s="9">
        <f>ведомство!G2073</f>
        <v>3032.6</v>
      </c>
      <c r="E562" s="9">
        <f>ведомство!H2073</f>
        <v>3032.5819999999999</v>
      </c>
      <c r="F562" s="9">
        <f>ведомство!I2073</f>
        <v>2003.7091</v>
      </c>
      <c r="G562" s="9">
        <f>ведомство!J2073</f>
        <v>1938.7091</v>
      </c>
      <c r="H562" s="9">
        <f>ведомство!K2073</f>
        <v>1935.2347199999999</v>
      </c>
      <c r="I562" s="9">
        <f t="shared" si="289"/>
        <v>63.814753236680822</v>
      </c>
      <c r="J562" s="9">
        <f t="shared" si="290"/>
        <v>96.58261870448159</v>
      </c>
    </row>
    <row r="563" spans="1:10">
      <c r="A563" s="8" t="s">
        <v>68</v>
      </c>
      <c r="B563" s="1" t="s">
        <v>833</v>
      </c>
      <c r="C563" s="1" t="s">
        <v>69</v>
      </c>
      <c r="D563" s="9">
        <f>D564</f>
        <v>288356.40000000002</v>
      </c>
      <c r="E563" s="9">
        <f>E564</f>
        <v>288356.36900000001</v>
      </c>
      <c r="F563" s="9">
        <f t="shared" ref="F563:G563" si="309">F564</f>
        <v>238393.111</v>
      </c>
      <c r="G563" s="9">
        <f t="shared" si="309"/>
        <v>238393.111</v>
      </c>
      <c r="H563" s="9">
        <f>H564</f>
        <v>238392.72432000001</v>
      </c>
      <c r="I563" s="9">
        <f t="shared" si="289"/>
        <v>82.672952619957556</v>
      </c>
      <c r="J563" s="9">
        <f t="shared" si="290"/>
        <v>99.999837797326279</v>
      </c>
    </row>
    <row r="564" spans="1:10">
      <c r="A564" s="8" t="s">
        <v>463</v>
      </c>
      <c r="B564" s="1" t="s">
        <v>833</v>
      </c>
      <c r="C564" s="1" t="s">
        <v>464</v>
      </c>
      <c r="D564" s="9">
        <f>ведомство!G2075</f>
        <v>288356.40000000002</v>
      </c>
      <c r="E564" s="9">
        <f>ведомство!H2075</f>
        <v>288356.36900000001</v>
      </c>
      <c r="F564" s="9">
        <f>ведомство!I2075</f>
        <v>238393.111</v>
      </c>
      <c r="G564" s="9">
        <f>ведомство!J2075</f>
        <v>238393.111</v>
      </c>
      <c r="H564" s="9">
        <f>ведомство!K2075</f>
        <v>238392.72432000001</v>
      </c>
      <c r="I564" s="9">
        <f t="shared" si="289"/>
        <v>82.672952619957556</v>
      </c>
      <c r="J564" s="9">
        <f t="shared" si="290"/>
        <v>99.999837797326279</v>
      </c>
    </row>
    <row r="565" spans="1:10" ht="51">
      <c r="A565" s="8" t="s">
        <v>834</v>
      </c>
      <c r="B565" s="1" t="s">
        <v>835</v>
      </c>
      <c r="C565" s="1" t="s">
        <v>0</v>
      </c>
      <c r="D565" s="9">
        <f>D566+D568</f>
        <v>638.90000000000009</v>
      </c>
      <c r="E565" s="9">
        <f>E566+E568</f>
        <v>638.90100000000007</v>
      </c>
      <c r="F565" s="9">
        <f t="shared" ref="F565:G565" si="310">F566+F568</f>
        <v>446.4</v>
      </c>
      <c r="G565" s="9">
        <f t="shared" si="310"/>
        <v>444.565</v>
      </c>
      <c r="H565" s="9">
        <f>H566+H568</f>
        <v>444.4853</v>
      </c>
      <c r="I565" s="9">
        <f t="shared" si="289"/>
        <v>69.570293363134496</v>
      </c>
      <c r="J565" s="9">
        <f t="shared" si="290"/>
        <v>99.571079749103944</v>
      </c>
    </row>
    <row r="566" spans="1:10" ht="25.5">
      <c r="A566" s="8" t="s">
        <v>64</v>
      </c>
      <c r="B566" s="1" t="s">
        <v>835</v>
      </c>
      <c r="C566" s="1" t="s">
        <v>65</v>
      </c>
      <c r="D566" s="9">
        <f>D567</f>
        <v>7.7</v>
      </c>
      <c r="E566" s="9">
        <f>E567</f>
        <v>7.7009999999999996</v>
      </c>
      <c r="F566" s="9">
        <f t="shared" ref="F566:G566" si="311">F567</f>
        <v>5.4</v>
      </c>
      <c r="G566" s="9">
        <f t="shared" si="311"/>
        <v>5.3650000000000002</v>
      </c>
      <c r="H566" s="9">
        <f>H567</f>
        <v>5.2853000000000003</v>
      </c>
      <c r="I566" s="9">
        <f t="shared" si="289"/>
        <v>68.631346578366461</v>
      </c>
      <c r="J566" s="9">
        <f t="shared" si="290"/>
        <v>97.875925925925927</v>
      </c>
    </row>
    <row r="567" spans="1:10" ht="25.5">
      <c r="A567" s="8" t="s">
        <v>66</v>
      </c>
      <c r="B567" s="1" t="s">
        <v>835</v>
      </c>
      <c r="C567" s="1" t="s">
        <v>67</v>
      </c>
      <c r="D567" s="9">
        <f>ведомство!G2078</f>
        <v>7.7</v>
      </c>
      <c r="E567" s="9">
        <f>ведомство!H2078</f>
        <v>7.7009999999999996</v>
      </c>
      <c r="F567" s="9">
        <f>ведомство!I2078</f>
        <v>5.4</v>
      </c>
      <c r="G567" s="9">
        <f>ведомство!J2078</f>
        <v>5.3650000000000002</v>
      </c>
      <c r="H567" s="9">
        <f>ведомство!K2078</f>
        <v>5.2853000000000003</v>
      </c>
      <c r="I567" s="9">
        <f t="shared" si="289"/>
        <v>68.631346578366461</v>
      </c>
      <c r="J567" s="9">
        <f t="shared" si="290"/>
        <v>97.875925925925927</v>
      </c>
    </row>
    <row r="568" spans="1:10">
      <c r="A568" s="8" t="s">
        <v>68</v>
      </c>
      <c r="B568" s="1" t="s">
        <v>835</v>
      </c>
      <c r="C568" s="1" t="s">
        <v>69</v>
      </c>
      <c r="D568" s="9">
        <f>D569</f>
        <v>631.20000000000005</v>
      </c>
      <c r="E568" s="9">
        <f>E569</f>
        <v>631.20000000000005</v>
      </c>
      <c r="F568" s="9">
        <f t="shared" ref="F568:G568" si="312">F569</f>
        <v>441</v>
      </c>
      <c r="G568" s="9">
        <f t="shared" si="312"/>
        <v>439.2</v>
      </c>
      <c r="H568" s="9">
        <f>H569</f>
        <v>439.2</v>
      </c>
      <c r="I568" s="9">
        <f t="shared" si="289"/>
        <v>69.581749049429646</v>
      </c>
      <c r="J568" s="9">
        <f t="shared" si="290"/>
        <v>99.591836734693871</v>
      </c>
    </row>
    <row r="569" spans="1:10">
      <c r="A569" s="8" t="s">
        <v>463</v>
      </c>
      <c r="B569" s="1" t="s">
        <v>835</v>
      </c>
      <c r="C569" s="1" t="s">
        <v>464</v>
      </c>
      <c r="D569" s="9">
        <f>ведомство!G2080</f>
        <v>631.20000000000005</v>
      </c>
      <c r="E569" s="9">
        <f>ведомство!H2080</f>
        <v>631.20000000000005</v>
      </c>
      <c r="F569" s="9">
        <f>ведомство!I2080</f>
        <v>441</v>
      </c>
      <c r="G569" s="9">
        <f>ведомство!J2080</f>
        <v>439.2</v>
      </c>
      <c r="H569" s="9">
        <f>ведомство!K2080</f>
        <v>439.2</v>
      </c>
      <c r="I569" s="9">
        <f t="shared" si="289"/>
        <v>69.581749049429646</v>
      </c>
      <c r="J569" s="9">
        <f t="shared" si="290"/>
        <v>99.591836734693871</v>
      </c>
    </row>
    <row r="570" spans="1:10" ht="51">
      <c r="A570" s="8" t="s">
        <v>836</v>
      </c>
      <c r="B570" s="1" t="s">
        <v>837</v>
      </c>
      <c r="C570" s="1" t="s">
        <v>0</v>
      </c>
      <c r="D570" s="9">
        <f>D571+D573</f>
        <v>12.2</v>
      </c>
      <c r="E570" s="9">
        <f>E571+E573</f>
        <v>12.18</v>
      </c>
      <c r="F570" s="9">
        <f t="shared" ref="F570:G570" si="313">F571+F573</f>
        <v>9.15</v>
      </c>
      <c r="G570" s="9">
        <f t="shared" si="313"/>
        <v>9.1349999999999998</v>
      </c>
      <c r="H570" s="9">
        <f>H571+H573</f>
        <v>9.1349999999999998</v>
      </c>
      <c r="I570" s="9">
        <f t="shared" si="289"/>
        <v>75</v>
      </c>
      <c r="J570" s="9">
        <f t="shared" si="290"/>
        <v>99.836065573770483</v>
      </c>
    </row>
    <row r="571" spans="1:10" ht="25.5">
      <c r="A571" s="8" t="s">
        <v>64</v>
      </c>
      <c r="B571" s="1" t="s">
        <v>837</v>
      </c>
      <c r="C571" s="1" t="s">
        <v>65</v>
      </c>
      <c r="D571" s="9">
        <f>D572</f>
        <v>0.2</v>
      </c>
      <c r="E571" s="9">
        <f>E572</f>
        <v>0.18</v>
      </c>
      <c r="F571" s="9">
        <f t="shared" ref="F571:G571" si="314">F572</f>
        <v>0.15</v>
      </c>
      <c r="G571" s="9">
        <f t="shared" si="314"/>
        <v>0.13500000000000001</v>
      </c>
      <c r="H571" s="9">
        <f>H572</f>
        <v>0.13500000000000001</v>
      </c>
      <c r="I571" s="9">
        <f t="shared" si="289"/>
        <v>75.000000000000014</v>
      </c>
      <c r="J571" s="9">
        <f t="shared" si="290"/>
        <v>90.000000000000014</v>
      </c>
    </row>
    <row r="572" spans="1:10" ht="25.5">
      <c r="A572" s="8" t="s">
        <v>66</v>
      </c>
      <c r="B572" s="1" t="s">
        <v>837</v>
      </c>
      <c r="C572" s="1" t="s">
        <v>67</v>
      </c>
      <c r="D572" s="9">
        <f>ведомство!G2083</f>
        <v>0.2</v>
      </c>
      <c r="E572" s="9">
        <f>ведомство!H2083</f>
        <v>0.18</v>
      </c>
      <c r="F572" s="9">
        <f>ведомство!I2083</f>
        <v>0.15</v>
      </c>
      <c r="G572" s="9">
        <f>ведомство!J2083</f>
        <v>0.13500000000000001</v>
      </c>
      <c r="H572" s="9">
        <f>ведомство!K2083</f>
        <v>0.13500000000000001</v>
      </c>
      <c r="I572" s="9">
        <f t="shared" si="289"/>
        <v>75.000000000000014</v>
      </c>
      <c r="J572" s="9">
        <f t="shared" si="290"/>
        <v>90.000000000000014</v>
      </c>
    </row>
    <row r="573" spans="1:10">
      <c r="A573" s="8" t="s">
        <v>68</v>
      </c>
      <c r="B573" s="1" t="s">
        <v>837</v>
      </c>
      <c r="C573" s="1" t="s">
        <v>69</v>
      </c>
      <c r="D573" s="9">
        <f>D574</f>
        <v>12</v>
      </c>
      <c r="E573" s="9">
        <f>E574</f>
        <v>12</v>
      </c>
      <c r="F573" s="9">
        <f t="shared" ref="F573:G573" si="315">F574</f>
        <v>9</v>
      </c>
      <c r="G573" s="9">
        <f t="shared" si="315"/>
        <v>9</v>
      </c>
      <c r="H573" s="9">
        <f>H574</f>
        <v>9</v>
      </c>
      <c r="I573" s="9">
        <f t="shared" si="289"/>
        <v>75</v>
      </c>
      <c r="J573" s="9">
        <f t="shared" si="290"/>
        <v>100</v>
      </c>
    </row>
    <row r="574" spans="1:10">
      <c r="A574" s="8" t="s">
        <v>463</v>
      </c>
      <c r="B574" s="1" t="s">
        <v>837</v>
      </c>
      <c r="C574" s="1" t="s">
        <v>464</v>
      </c>
      <c r="D574" s="9">
        <f>ведомство!G2085</f>
        <v>12</v>
      </c>
      <c r="E574" s="9">
        <f>ведомство!H2085</f>
        <v>12</v>
      </c>
      <c r="F574" s="9">
        <f>ведомство!I2085</f>
        <v>9</v>
      </c>
      <c r="G574" s="9">
        <f>ведомство!J2085</f>
        <v>9</v>
      </c>
      <c r="H574" s="9">
        <f>ведомство!K2085</f>
        <v>9</v>
      </c>
      <c r="I574" s="9">
        <f t="shared" si="289"/>
        <v>75</v>
      </c>
      <c r="J574" s="9">
        <f t="shared" si="290"/>
        <v>100</v>
      </c>
    </row>
    <row r="575" spans="1:10" ht="38.25">
      <c r="A575" s="8" t="s">
        <v>838</v>
      </c>
      <c r="B575" s="1" t="s">
        <v>839</v>
      </c>
      <c r="C575" s="1" t="s">
        <v>0</v>
      </c>
      <c r="D575" s="9">
        <f>D576+D578</f>
        <v>4869.6000000000004</v>
      </c>
      <c r="E575" s="9">
        <f>E576+E578</f>
        <v>4869.6000000000004</v>
      </c>
      <c r="F575" s="9">
        <f t="shared" ref="F575:G575" si="316">F576+F578</f>
        <v>3721.5</v>
      </c>
      <c r="G575" s="9">
        <f t="shared" si="316"/>
        <v>3691.5320000000002</v>
      </c>
      <c r="H575" s="9">
        <f>H576+H578</f>
        <v>3691.2689700000001</v>
      </c>
      <c r="I575" s="9">
        <f t="shared" si="289"/>
        <v>75.802303474618043</v>
      </c>
      <c r="J575" s="9">
        <f t="shared" si="290"/>
        <v>99.187665457476825</v>
      </c>
    </row>
    <row r="576" spans="1:10" ht="25.5">
      <c r="A576" s="8" t="s">
        <v>64</v>
      </c>
      <c r="B576" s="1" t="s">
        <v>839</v>
      </c>
      <c r="C576" s="1" t="s">
        <v>65</v>
      </c>
      <c r="D576" s="9">
        <f>D577</f>
        <v>69.599999999999994</v>
      </c>
      <c r="E576" s="9">
        <f>E577</f>
        <v>69.599999999999994</v>
      </c>
      <c r="F576" s="9">
        <f t="shared" ref="F576:G576" si="317">F577</f>
        <v>51.6</v>
      </c>
      <c r="G576" s="9">
        <f t="shared" si="317"/>
        <v>42.112000000000002</v>
      </c>
      <c r="H576" s="9">
        <f>H577</f>
        <v>42.108919999999998</v>
      </c>
      <c r="I576" s="9">
        <f t="shared" si="289"/>
        <v>60.501321839080461</v>
      </c>
      <c r="J576" s="9">
        <f t="shared" si="290"/>
        <v>81.606434108527125</v>
      </c>
    </row>
    <row r="577" spans="1:10" ht="25.5">
      <c r="A577" s="8" t="s">
        <v>66</v>
      </c>
      <c r="B577" s="1" t="s">
        <v>839</v>
      </c>
      <c r="C577" s="1" t="s">
        <v>67</v>
      </c>
      <c r="D577" s="9">
        <f>ведомство!G2088</f>
        <v>69.599999999999994</v>
      </c>
      <c r="E577" s="9">
        <f>ведомство!H2088</f>
        <v>69.599999999999994</v>
      </c>
      <c r="F577" s="9">
        <f>ведомство!I2088</f>
        <v>51.6</v>
      </c>
      <c r="G577" s="9">
        <f>ведомство!J2088</f>
        <v>42.112000000000002</v>
      </c>
      <c r="H577" s="9">
        <f>ведомство!K2088</f>
        <v>42.108919999999998</v>
      </c>
      <c r="I577" s="9">
        <f t="shared" si="289"/>
        <v>60.501321839080461</v>
      </c>
      <c r="J577" s="9">
        <f t="shared" si="290"/>
        <v>81.606434108527125</v>
      </c>
    </row>
    <row r="578" spans="1:10">
      <c r="A578" s="8" t="s">
        <v>68</v>
      </c>
      <c r="B578" s="1" t="s">
        <v>839</v>
      </c>
      <c r="C578" s="1" t="s">
        <v>69</v>
      </c>
      <c r="D578" s="9">
        <f>D579</f>
        <v>4800</v>
      </c>
      <c r="E578" s="9">
        <f>E579</f>
        <v>4800</v>
      </c>
      <c r="F578" s="9">
        <f t="shared" ref="F578:G578" si="318">F579</f>
        <v>3669.9</v>
      </c>
      <c r="G578" s="9">
        <f t="shared" si="318"/>
        <v>3649.42</v>
      </c>
      <c r="H578" s="9">
        <f>H579</f>
        <v>3649.16005</v>
      </c>
      <c r="I578" s="9">
        <f t="shared" si="289"/>
        <v>76.024167708333337</v>
      </c>
      <c r="J578" s="9">
        <f t="shared" si="290"/>
        <v>99.434863347775135</v>
      </c>
    </row>
    <row r="579" spans="1:10">
      <c r="A579" s="8" t="s">
        <v>463</v>
      </c>
      <c r="B579" s="1" t="s">
        <v>839</v>
      </c>
      <c r="C579" s="1" t="s">
        <v>464</v>
      </c>
      <c r="D579" s="9">
        <f>ведомство!G2090</f>
        <v>4800</v>
      </c>
      <c r="E579" s="9">
        <f>ведомство!H2090</f>
        <v>4800</v>
      </c>
      <c r="F579" s="9">
        <f>ведомство!I2090</f>
        <v>3669.9</v>
      </c>
      <c r="G579" s="9">
        <f>ведомство!J2090</f>
        <v>3649.42</v>
      </c>
      <c r="H579" s="9">
        <f>ведомство!K2090</f>
        <v>3649.16005</v>
      </c>
      <c r="I579" s="9">
        <f t="shared" si="289"/>
        <v>76.024167708333337</v>
      </c>
      <c r="J579" s="9">
        <f t="shared" si="290"/>
        <v>99.434863347775135</v>
      </c>
    </row>
    <row r="580" spans="1:10" ht="25.5">
      <c r="A580" s="8" t="s">
        <v>840</v>
      </c>
      <c r="B580" s="1" t="s">
        <v>841</v>
      </c>
      <c r="C580" s="1" t="s">
        <v>0</v>
      </c>
      <c r="D580" s="9">
        <f>D581+D583</f>
        <v>10805.300000000001</v>
      </c>
      <c r="E580" s="9">
        <f>E581+E583</f>
        <v>10805.275</v>
      </c>
      <c r="F580" s="9">
        <f t="shared" ref="F580:G580" si="319">F581+F583</f>
        <v>8146.8909999999996</v>
      </c>
      <c r="G580" s="9">
        <f t="shared" si="319"/>
        <v>8140.2669999999998</v>
      </c>
      <c r="H580" s="9">
        <f>H581+H583</f>
        <v>8131.7986099999998</v>
      </c>
      <c r="I580" s="9">
        <f t="shared" si="289"/>
        <v>75.25767377507745</v>
      </c>
      <c r="J580" s="9">
        <f t="shared" si="290"/>
        <v>99.8147466315678</v>
      </c>
    </row>
    <row r="581" spans="1:10" ht="25.5">
      <c r="A581" s="8" t="s">
        <v>64</v>
      </c>
      <c r="B581" s="1" t="s">
        <v>841</v>
      </c>
      <c r="C581" s="1" t="s">
        <v>65</v>
      </c>
      <c r="D581" s="9">
        <f>D582</f>
        <v>138.1</v>
      </c>
      <c r="E581" s="9">
        <f>E582</f>
        <v>138.08699999999999</v>
      </c>
      <c r="F581" s="9">
        <f t="shared" ref="F581:G581" si="320">F582</f>
        <v>110.9</v>
      </c>
      <c r="G581" s="9">
        <f t="shared" si="320"/>
        <v>104.276</v>
      </c>
      <c r="H581" s="9">
        <f>H582</f>
        <v>104.05961000000001</v>
      </c>
      <c r="I581" s="9">
        <f t="shared" si="289"/>
        <v>75.358006184506877</v>
      </c>
      <c r="J581" s="9">
        <f t="shared" si="290"/>
        <v>93.831929666366094</v>
      </c>
    </row>
    <row r="582" spans="1:10" ht="25.5">
      <c r="A582" s="8" t="s">
        <v>66</v>
      </c>
      <c r="B582" s="1" t="s">
        <v>841</v>
      </c>
      <c r="C582" s="1" t="s">
        <v>67</v>
      </c>
      <c r="D582" s="9">
        <f>ведомство!G2093</f>
        <v>138.1</v>
      </c>
      <c r="E582" s="9">
        <f>ведомство!H2093</f>
        <v>138.08699999999999</v>
      </c>
      <c r="F582" s="9">
        <f>ведомство!I2093</f>
        <v>110.9</v>
      </c>
      <c r="G582" s="9">
        <f>ведомство!J2093</f>
        <v>104.276</v>
      </c>
      <c r="H582" s="9">
        <f>ведомство!K2093</f>
        <v>104.05961000000001</v>
      </c>
      <c r="I582" s="9">
        <f t="shared" si="289"/>
        <v>75.358006184506877</v>
      </c>
      <c r="J582" s="9">
        <f t="shared" si="290"/>
        <v>93.831929666366094</v>
      </c>
    </row>
    <row r="583" spans="1:10">
      <c r="A583" s="8" t="s">
        <v>68</v>
      </c>
      <c r="B583" s="1" t="s">
        <v>841</v>
      </c>
      <c r="C583" s="1" t="s">
        <v>69</v>
      </c>
      <c r="D583" s="9">
        <f>D584</f>
        <v>10667.2</v>
      </c>
      <c r="E583" s="9">
        <f>E584</f>
        <v>10667.188</v>
      </c>
      <c r="F583" s="9">
        <f t="shared" ref="F583:G583" si="321">F584</f>
        <v>8035.991</v>
      </c>
      <c r="G583" s="9">
        <f t="shared" si="321"/>
        <v>8035.991</v>
      </c>
      <c r="H583" s="9">
        <f>H584</f>
        <v>8027.7389999999996</v>
      </c>
      <c r="I583" s="9">
        <f t="shared" si="289"/>
        <v>75.256374969673359</v>
      </c>
      <c r="J583" s="9">
        <f t="shared" si="290"/>
        <v>99.897311980563444</v>
      </c>
    </row>
    <row r="584" spans="1:10">
      <c r="A584" s="8" t="s">
        <v>463</v>
      </c>
      <c r="B584" s="1" t="s">
        <v>841</v>
      </c>
      <c r="C584" s="1" t="s">
        <v>464</v>
      </c>
      <c r="D584" s="9">
        <f>ведомство!G2095</f>
        <v>10667.2</v>
      </c>
      <c r="E584" s="9">
        <f>ведомство!H2095</f>
        <v>10667.188</v>
      </c>
      <c r="F584" s="9">
        <f>ведомство!I2095</f>
        <v>8035.991</v>
      </c>
      <c r="G584" s="9">
        <f>ведомство!J2095</f>
        <v>8035.991</v>
      </c>
      <c r="H584" s="9">
        <f>ведомство!K2095</f>
        <v>8027.7389999999996</v>
      </c>
      <c r="I584" s="9">
        <f t="shared" si="289"/>
        <v>75.256374969673359</v>
      </c>
      <c r="J584" s="9">
        <f t="shared" si="290"/>
        <v>99.897311980563444</v>
      </c>
    </row>
    <row r="585" spans="1:10" ht="25.5">
      <c r="A585" s="8" t="s">
        <v>842</v>
      </c>
      <c r="B585" s="1" t="s">
        <v>843</v>
      </c>
      <c r="C585" s="1" t="s">
        <v>0</v>
      </c>
      <c r="D585" s="9">
        <f>D586+D588</f>
        <v>996.5</v>
      </c>
      <c r="E585" s="9">
        <f>E586+E588</f>
        <v>996.52499999999998</v>
      </c>
      <c r="F585" s="9">
        <f t="shared" ref="F585:G585" si="322">F586+F588</f>
        <v>828.82499999999993</v>
      </c>
      <c r="G585" s="9">
        <f t="shared" si="322"/>
        <v>806.34800000000007</v>
      </c>
      <c r="H585" s="9">
        <f>H586+H588</f>
        <v>805.87349999999992</v>
      </c>
      <c r="I585" s="9">
        <f t="shared" si="289"/>
        <v>80.868367577331227</v>
      </c>
      <c r="J585" s="9">
        <f t="shared" si="290"/>
        <v>97.230838838114195</v>
      </c>
    </row>
    <row r="586" spans="1:10" ht="25.5">
      <c r="A586" s="8" t="s">
        <v>64</v>
      </c>
      <c r="B586" s="1" t="s">
        <v>843</v>
      </c>
      <c r="C586" s="1" t="s">
        <v>65</v>
      </c>
      <c r="D586" s="9">
        <f>D587</f>
        <v>11.5</v>
      </c>
      <c r="E586" s="9">
        <f>E587</f>
        <v>11.525</v>
      </c>
      <c r="F586" s="9">
        <f t="shared" ref="F586:G586" si="323">F587</f>
        <v>10.025</v>
      </c>
      <c r="G586" s="9">
        <f t="shared" si="323"/>
        <v>9.2479999999999993</v>
      </c>
      <c r="H586" s="9">
        <f>H587</f>
        <v>9.2234999999999996</v>
      </c>
      <c r="I586" s="9">
        <f t="shared" si="289"/>
        <v>80.030368763557476</v>
      </c>
      <c r="J586" s="9">
        <f t="shared" si="290"/>
        <v>92.004987531172063</v>
      </c>
    </row>
    <row r="587" spans="1:10" ht="25.5">
      <c r="A587" s="8" t="s">
        <v>66</v>
      </c>
      <c r="B587" s="1" t="s">
        <v>843</v>
      </c>
      <c r="C587" s="1" t="s">
        <v>67</v>
      </c>
      <c r="D587" s="9">
        <f>ведомство!G2098</f>
        <v>11.5</v>
      </c>
      <c r="E587" s="9">
        <f>ведомство!H2098</f>
        <v>11.525</v>
      </c>
      <c r="F587" s="9">
        <f>ведомство!I2098</f>
        <v>10.025</v>
      </c>
      <c r="G587" s="9">
        <f>ведомство!J2098</f>
        <v>9.2479999999999993</v>
      </c>
      <c r="H587" s="9">
        <f>ведомство!K2098</f>
        <v>9.2234999999999996</v>
      </c>
      <c r="I587" s="9">
        <f t="shared" si="289"/>
        <v>80.030368763557476</v>
      </c>
      <c r="J587" s="9">
        <f t="shared" si="290"/>
        <v>92.004987531172063</v>
      </c>
    </row>
    <row r="588" spans="1:10">
      <c r="A588" s="8" t="s">
        <v>68</v>
      </c>
      <c r="B588" s="1" t="s">
        <v>843</v>
      </c>
      <c r="C588" s="1" t="s">
        <v>69</v>
      </c>
      <c r="D588" s="9">
        <f>D589</f>
        <v>985</v>
      </c>
      <c r="E588" s="9">
        <f>E589</f>
        <v>985</v>
      </c>
      <c r="F588" s="9">
        <f t="shared" ref="F588:G588" si="324">F589</f>
        <v>818.8</v>
      </c>
      <c r="G588" s="9">
        <f t="shared" si="324"/>
        <v>797.1</v>
      </c>
      <c r="H588" s="9">
        <f>H589</f>
        <v>796.65</v>
      </c>
      <c r="I588" s="9">
        <f t="shared" si="289"/>
        <v>80.878172588832484</v>
      </c>
      <c r="J588" s="9">
        <f t="shared" si="290"/>
        <v>97.294821690278454</v>
      </c>
    </row>
    <row r="589" spans="1:10">
      <c r="A589" s="8" t="s">
        <v>463</v>
      </c>
      <c r="B589" s="1" t="s">
        <v>843</v>
      </c>
      <c r="C589" s="1" t="s">
        <v>464</v>
      </c>
      <c r="D589" s="9">
        <f>ведомство!G2100</f>
        <v>985</v>
      </c>
      <c r="E589" s="9">
        <f>ведомство!H2100</f>
        <v>985</v>
      </c>
      <c r="F589" s="9">
        <f>ведомство!I2100</f>
        <v>818.8</v>
      </c>
      <c r="G589" s="9">
        <f>ведомство!J2100</f>
        <v>797.1</v>
      </c>
      <c r="H589" s="9">
        <f>ведомство!K2100</f>
        <v>796.65</v>
      </c>
      <c r="I589" s="9">
        <f t="shared" si="289"/>
        <v>80.878172588832484</v>
      </c>
      <c r="J589" s="9">
        <f t="shared" si="290"/>
        <v>97.294821690278454</v>
      </c>
    </row>
    <row r="590" spans="1:10" ht="63.75">
      <c r="A590" s="8" t="s">
        <v>844</v>
      </c>
      <c r="B590" s="1" t="s">
        <v>845</v>
      </c>
      <c r="C590" s="1" t="s">
        <v>0</v>
      </c>
      <c r="D590" s="9">
        <f>D591+D593</f>
        <v>485.1</v>
      </c>
      <c r="E590" s="9">
        <f>E591+E593</f>
        <v>485.13600000000002</v>
      </c>
      <c r="F590" s="9">
        <f t="shared" ref="F590:G590" si="325">F591+F593</f>
        <v>271.93599999999998</v>
      </c>
      <c r="G590" s="9">
        <f t="shared" si="325"/>
        <v>270.97500000000002</v>
      </c>
      <c r="H590" s="9">
        <f>H591+H593</f>
        <v>270.964</v>
      </c>
      <c r="I590" s="9">
        <f t="shared" si="289"/>
        <v>55.853204049998354</v>
      </c>
      <c r="J590" s="9">
        <f t="shared" si="290"/>
        <v>99.642562955989661</v>
      </c>
    </row>
    <row r="591" spans="1:10" ht="25.5">
      <c r="A591" s="8" t="s">
        <v>64</v>
      </c>
      <c r="B591" s="1" t="s">
        <v>845</v>
      </c>
      <c r="C591" s="1" t="s">
        <v>65</v>
      </c>
      <c r="D591" s="9">
        <f>D592</f>
        <v>5.0999999999999996</v>
      </c>
      <c r="E591" s="9">
        <f>E592</f>
        <v>5.1360000000000001</v>
      </c>
      <c r="F591" s="9">
        <f t="shared" ref="F591:G591" si="326">F592</f>
        <v>3.9359999999999999</v>
      </c>
      <c r="G591" s="9">
        <f t="shared" si="326"/>
        <v>2.9750000000000001</v>
      </c>
      <c r="H591" s="9">
        <f>H592</f>
        <v>2.964</v>
      </c>
      <c r="I591" s="9">
        <f t="shared" si="289"/>
        <v>57.710280373831765</v>
      </c>
      <c r="J591" s="9">
        <f t="shared" si="290"/>
        <v>75.304878048780495</v>
      </c>
    </row>
    <row r="592" spans="1:10" ht="25.5">
      <c r="A592" s="8" t="s">
        <v>66</v>
      </c>
      <c r="B592" s="1" t="s">
        <v>845</v>
      </c>
      <c r="C592" s="1" t="s">
        <v>67</v>
      </c>
      <c r="D592" s="9">
        <f>ведомство!G2103</f>
        <v>5.0999999999999996</v>
      </c>
      <c r="E592" s="9">
        <f>ведомство!H2103</f>
        <v>5.1360000000000001</v>
      </c>
      <c r="F592" s="9">
        <f>ведомство!I2103</f>
        <v>3.9359999999999999</v>
      </c>
      <c r="G592" s="9">
        <f>ведомство!J2103</f>
        <v>2.9750000000000001</v>
      </c>
      <c r="H592" s="9">
        <f>ведомство!K2103</f>
        <v>2.964</v>
      </c>
      <c r="I592" s="9">
        <f t="shared" si="289"/>
        <v>57.710280373831765</v>
      </c>
      <c r="J592" s="9">
        <f t="shared" si="290"/>
        <v>75.304878048780495</v>
      </c>
    </row>
    <row r="593" spans="1:10">
      <c r="A593" s="8" t="s">
        <v>68</v>
      </c>
      <c r="B593" s="1" t="s">
        <v>845</v>
      </c>
      <c r="C593" s="1" t="s">
        <v>69</v>
      </c>
      <c r="D593" s="9">
        <f>D594</f>
        <v>480</v>
      </c>
      <c r="E593" s="9">
        <f>E594</f>
        <v>480</v>
      </c>
      <c r="F593" s="9">
        <f t="shared" ref="F593:G593" si="327">F594</f>
        <v>268</v>
      </c>
      <c r="G593" s="9">
        <f t="shared" si="327"/>
        <v>268</v>
      </c>
      <c r="H593" s="9">
        <f>H594</f>
        <v>268</v>
      </c>
      <c r="I593" s="9">
        <f t="shared" si="289"/>
        <v>55.833333333333336</v>
      </c>
      <c r="J593" s="9">
        <f t="shared" si="290"/>
        <v>100</v>
      </c>
    </row>
    <row r="594" spans="1:10">
      <c r="A594" s="8" t="s">
        <v>463</v>
      </c>
      <c r="B594" s="1" t="s">
        <v>845</v>
      </c>
      <c r="C594" s="1" t="s">
        <v>464</v>
      </c>
      <c r="D594" s="9">
        <f>ведомство!G2105</f>
        <v>480</v>
      </c>
      <c r="E594" s="9">
        <f>ведомство!H2105</f>
        <v>480</v>
      </c>
      <c r="F594" s="9">
        <f>ведомство!I2105</f>
        <v>268</v>
      </c>
      <c r="G594" s="9">
        <f>ведомство!J2105</f>
        <v>268</v>
      </c>
      <c r="H594" s="9">
        <f>ведомство!K2105</f>
        <v>268</v>
      </c>
      <c r="I594" s="9">
        <f t="shared" si="289"/>
        <v>55.833333333333336</v>
      </c>
      <c r="J594" s="9">
        <f t="shared" si="290"/>
        <v>100</v>
      </c>
    </row>
    <row r="595" spans="1:10" ht="25.5">
      <c r="A595" s="8" t="s">
        <v>874</v>
      </c>
      <c r="B595" s="1" t="s">
        <v>875</v>
      </c>
      <c r="C595" s="1" t="s">
        <v>0</v>
      </c>
      <c r="D595" s="9">
        <f>D596+D598</f>
        <v>31227</v>
      </c>
      <c r="E595" s="9">
        <f>E596+E598</f>
        <v>31226.97</v>
      </c>
      <c r="F595" s="9">
        <f t="shared" ref="F595:G595" si="328">F596+F598</f>
        <v>5423.9669999999996</v>
      </c>
      <c r="G595" s="9">
        <f t="shared" si="328"/>
        <v>5423.9669999999996</v>
      </c>
      <c r="H595" s="9">
        <f>H596+H598</f>
        <v>5423.9669999999996</v>
      </c>
      <c r="I595" s="9">
        <f t="shared" ref="I595:I664" si="329">H595/E595*100</f>
        <v>17.369495023052188</v>
      </c>
      <c r="J595" s="9">
        <f t="shared" ref="J595:J663" si="330">H595/F595*100</f>
        <v>100</v>
      </c>
    </row>
    <row r="596" spans="1:10" ht="25.5">
      <c r="A596" s="8" t="s">
        <v>64</v>
      </c>
      <c r="B596" s="1" t="s">
        <v>875</v>
      </c>
      <c r="C596" s="1" t="s">
        <v>65</v>
      </c>
      <c r="D596" s="9">
        <f>D597</f>
        <v>477</v>
      </c>
      <c r="E596" s="9">
        <f>E597</f>
        <v>476.97</v>
      </c>
      <c r="F596" s="9">
        <f t="shared" ref="F596:G596" si="331">F597</f>
        <v>53.966999999999999</v>
      </c>
      <c r="G596" s="9">
        <f t="shared" si="331"/>
        <v>53.966999999999999</v>
      </c>
      <c r="H596" s="9">
        <f>H597</f>
        <v>53.966999999999999</v>
      </c>
      <c r="I596" s="9">
        <f t="shared" si="329"/>
        <v>11.314548084785207</v>
      </c>
      <c r="J596" s="9">
        <f t="shared" si="330"/>
        <v>100</v>
      </c>
    </row>
    <row r="597" spans="1:10" ht="25.5">
      <c r="A597" s="8" t="s">
        <v>66</v>
      </c>
      <c r="B597" s="1" t="s">
        <v>875</v>
      </c>
      <c r="C597" s="1" t="s">
        <v>67</v>
      </c>
      <c r="D597" s="9">
        <f>ведомство!G2177</f>
        <v>477</v>
      </c>
      <c r="E597" s="9">
        <f>ведомство!H2177</f>
        <v>476.97</v>
      </c>
      <c r="F597" s="9">
        <f>ведомство!I2177</f>
        <v>53.966999999999999</v>
      </c>
      <c r="G597" s="9">
        <f>ведомство!J2177</f>
        <v>53.966999999999999</v>
      </c>
      <c r="H597" s="9">
        <f>ведомство!K2177</f>
        <v>53.966999999999999</v>
      </c>
      <c r="I597" s="9">
        <f t="shared" si="329"/>
        <v>11.314548084785207</v>
      </c>
      <c r="J597" s="9">
        <f t="shared" si="330"/>
        <v>100</v>
      </c>
    </row>
    <row r="598" spans="1:10">
      <c r="A598" s="8" t="s">
        <v>68</v>
      </c>
      <c r="B598" s="1" t="s">
        <v>875</v>
      </c>
      <c r="C598" s="1" t="s">
        <v>69</v>
      </c>
      <c r="D598" s="9">
        <f>D599</f>
        <v>30750</v>
      </c>
      <c r="E598" s="9">
        <f>E599</f>
        <v>30750</v>
      </c>
      <c r="F598" s="9">
        <f t="shared" ref="F598:G598" si="332">F599</f>
        <v>5370</v>
      </c>
      <c r="G598" s="9">
        <f t="shared" si="332"/>
        <v>5370</v>
      </c>
      <c r="H598" s="9">
        <f>H599</f>
        <v>5370</v>
      </c>
      <c r="I598" s="9">
        <f t="shared" si="329"/>
        <v>17.463414634146339</v>
      </c>
      <c r="J598" s="9">
        <f t="shared" si="330"/>
        <v>100</v>
      </c>
    </row>
    <row r="599" spans="1:10">
      <c r="A599" s="8" t="s">
        <v>463</v>
      </c>
      <c r="B599" s="1" t="s">
        <v>875</v>
      </c>
      <c r="C599" s="1" t="s">
        <v>464</v>
      </c>
      <c r="D599" s="9">
        <f>ведомство!G2179</f>
        <v>30750</v>
      </c>
      <c r="E599" s="9">
        <f>ведомство!H2179</f>
        <v>30750</v>
      </c>
      <c r="F599" s="9">
        <f>ведомство!I2179</f>
        <v>5370</v>
      </c>
      <c r="G599" s="9">
        <f>ведомство!J2179</f>
        <v>5370</v>
      </c>
      <c r="H599" s="9">
        <f>ведомство!K2179</f>
        <v>5370</v>
      </c>
      <c r="I599" s="9">
        <f t="shared" si="329"/>
        <v>17.463414634146339</v>
      </c>
      <c r="J599" s="9">
        <f t="shared" si="330"/>
        <v>100</v>
      </c>
    </row>
    <row r="600" spans="1:10" ht="38.25">
      <c r="A600" s="8" t="s">
        <v>846</v>
      </c>
      <c r="B600" s="1" t="s">
        <v>847</v>
      </c>
      <c r="C600" s="1" t="s">
        <v>0</v>
      </c>
      <c r="D600" s="9">
        <f>D601+D603</f>
        <v>25680.300000000003</v>
      </c>
      <c r="E600" s="9">
        <f>E601+E603</f>
        <v>25680.300999999999</v>
      </c>
      <c r="F600" s="9">
        <f t="shared" ref="F600:G600" si="333">F601+F603</f>
        <v>10073.554</v>
      </c>
      <c r="G600" s="9">
        <f t="shared" si="333"/>
        <v>10062.054</v>
      </c>
      <c r="H600" s="9">
        <f>H601+H603</f>
        <v>9988.2683400000005</v>
      </c>
      <c r="I600" s="9">
        <f t="shared" si="329"/>
        <v>38.894670043003003</v>
      </c>
      <c r="J600" s="9">
        <f t="shared" si="330"/>
        <v>99.153370697174012</v>
      </c>
    </row>
    <row r="601" spans="1:10" ht="25.5">
      <c r="A601" s="8" t="s">
        <v>64</v>
      </c>
      <c r="B601" s="1" t="s">
        <v>847</v>
      </c>
      <c r="C601" s="1" t="s">
        <v>65</v>
      </c>
      <c r="D601" s="9">
        <f>D602</f>
        <v>411.9</v>
      </c>
      <c r="E601" s="9">
        <f>E602</f>
        <v>411.875</v>
      </c>
      <c r="F601" s="9">
        <f t="shared" ref="F601:G601" si="334">F602</f>
        <v>178.018</v>
      </c>
      <c r="G601" s="9">
        <f t="shared" si="334"/>
        <v>166.518</v>
      </c>
      <c r="H601" s="9">
        <f>H602</f>
        <v>161.12055000000001</v>
      </c>
      <c r="I601" s="9">
        <f t="shared" si="329"/>
        <v>39.118798179059183</v>
      </c>
      <c r="J601" s="9">
        <f t="shared" si="330"/>
        <v>90.508010425911991</v>
      </c>
    </row>
    <row r="602" spans="1:10" ht="25.5">
      <c r="A602" s="8" t="s">
        <v>66</v>
      </c>
      <c r="B602" s="1" t="s">
        <v>847</v>
      </c>
      <c r="C602" s="1" t="s">
        <v>67</v>
      </c>
      <c r="D602" s="9">
        <f>ведомство!G2108</f>
        <v>411.9</v>
      </c>
      <c r="E602" s="9">
        <f>ведомство!H2108</f>
        <v>411.875</v>
      </c>
      <c r="F602" s="9">
        <f>ведомство!I2108</f>
        <v>178.018</v>
      </c>
      <c r="G602" s="9">
        <f>ведомство!J2108</f>
        <v>166.518</v>
      </c>
      <c r="H602" s="9">
        <f>ведомство!K2108</f>
        <v>161.12055000000001</v>
      </c>
      <c r="I602" s="9">
        <f t="shared" si="329"/>
        <v>39.118798179059183</v>
      </c>
      <c r="J602" s="9">
        <f t="shared" si="330"/>
        <v>90.508010425911991</v>
      </c>
    </row>
    <row r="603" spans="1:10">
      <c r="A603" s="8" t="s">
        <v>68</v>
      </c>
      <c r="B603" s="1" t="s">
        <v>847</v>
      </c>
      <c r="C603" s="1" t="s">
        <v>69</v>
      </c>
      <c r="D603" s="9">
        <f>D604</f>
        <v>25268.400000000001</v>
      </c>
      <c r="E603" s="9">
        <f>E604</f>
        <v>25268.425999999999</v>
      </c>
      <c r="F603" s="9">
        <f t="shared" ref="F603:G603" si="335">F604</f>
        <v>9895.5360000000001</v>
      </c>
      <c r="G603" s="9">
        <f t="shared" si="335"/>
        <v>9895.5360000000001</v>
      </c>
      <c r="H603" s="9">
        <f>H604</f>
        <v>9827.1477900000009</v>
      </c>
      <c r="I603" s="9">
        <f t="shared" si="329"/>
        <v>38.891016757434762</v>
      </c>
      <c r="J603" s="9">
        <f t="shared" si="330"/>
        <v>99.308898375995</v>
      </c>
    </row>
    <row r="604" spans="1:10" ht="25.5">
      <c r="A604" s="8" t="s">
        <v>151</v>
      </c>
      <c r="B604" s="1" t="s">
        <v>847</v>
      </c>
      <c r="C604" s="1" t="s">
        <v>152</v>
      </c>
      <c r="D604" s="9">
        <f>ведомство!G2110</f>
        <v>25268.400000000001</v>
      </c>
      <c r="E604" s="9">
        <f>ведомство!H2110</f>
        <v>25268.425999999999</v>
      </c>
      <c r="F604" s="9">
        <f>ведомство!I2110</f>
        <v>9895.5360000000001</v>
      </c>
      <c r="G604" s="9">
        <f>ведомство!J2110</f>
        <v>9895.5360000000001</v>
      </c>
      <c r="H604" s="9">
        <f>ведомство!K2110</f>
        <v>9827.1477900000009</v>
      </c>
      <c r="I604" s="9">
        <f t="shared" si="329"/>
        <v>38.891016757434762</v>
      </c>
      <c r="J604" s="9">
        <f t="shared" si="330"/>
        <v>99.308898375995</v>
      </c>
    </row>
    <row r="605" spans="1:10" ht="25.5">
      <c r="A605" s="8" t="s">
        <v>848</v>
      </c>
      <c r="B605" s="1" t="s">
        <v>849</v>
      </c>
      <c r="C605" s="1" t="s">
        <v>0</v>
      </c>
      <c r="D605" s="9">
        <f>D606</f>
        <v>376437.1</v>
      </c>
      <c r="E605" s="9">
        <f>E606</f>
        <v>376437.1</v>
      </c>
      <c r="F605" s="9">
        <f t="shared" ref="F605:G606" si="336">F606</f>
        <v>249130.58661</v>
      </c>
      <c r="G605" s="9">
        <f t="shared" si="336"/>
        <v>249130.58661</v>
      </c>
      <c r="H605" s="9">
        <f>H606</f>
        <v>248972.89610000001</v>
      </c>
      <c r="I605" s="9">
        <f t="shared" si="329"/>
        <v>66.139308824767809</v>
      </c>
      <c r="J605" s="9">
        <f t="shared" si="330"/>
        <v>99.936703673304137</v>
      </c>
    </row>
    <row r="606" spans="1:10">
      <c r="A606" s="8" t="s">
        <v>26</v>
      </c>
      <c r="B606" s="1" t="s">
        <v>849</v>
      </c>
      <c r="C606" s="1" t="s">
        <v>27</v>
      </c>
      <c r="D606" s="9">
        <f>D607</f>
        <v>376437.1</v>
      </c>
      <c r="E606" s="9">
        <f>E607</f>
        <v>376437.1</v>
      </c>
      <c r="F606" s="9">
        <f t="shared" si="336"/>
        <v>249130.58661</v>
      </c>
      <c r="G606" s="9">
        <f t="shared" si="336"/>
        <v>249130.58661</v>
      </c>
      <c r="H606" s="9">
        <f>H607</f>
        <v>248972.89610000001</v>
      </c>
      <c r="I606" s="9">
        <f t="shared" si="329"/>
        <v>66.139308824767809</v>
      </c>
      <c r="J606" s="9">
        <f t="shared" si="330"/>
        <v>99.936703673304137</v>
      </c>
    </row>
    <row r="607" spans="1:10">
      <c r="A607" s="8" t="s">
        <v>28</v>
      </c>
      <c r="B607" s="1" t="s">
        <v>849</v>
      </c>
      <c r="C607" s="1" t="s">
        <v>29</v>
      </c>
      <c r="D607" s="9">
        <f>ведомство!G2113</f>
        <v>376437.1</v>
      </c>
      <c r="E607" s="9">
        <f>ведомство!H2113</f>
        <v>376437.1</v>
      </c>
      <c r="F607" s="9">
        <f>ведомство!I2113</f>
        <v>249130.58661</v>
      </c>
      <c r="G607" s="9">
        <f>ведомство!J2113</f>
        <v>249130.58661</v>
      </c>
      <c r="H607" s="9">
        <f>ведомство!K2113</f>
        <v>248972.89610000001</v>
      </c>
      <c r="I607" s="9">
        <f t="shared" si="329"/>
        <v>66.139308824767809</v>
      </c>
      <c r="J607" s="9">
        <f t="shared" si="330"/>
        <v>99.936703673304137</v>
      </c>
    </row>
    <row r="608" spans="1:10" ht="38.25">
      <c r="A608" s="8" t="s">
        <v>850</v>
      </c>
      <c r="B608" s="1" t="s">
        <v>851</v>
      </c>
      <c r="C608" s="1" t="s">
        <v>0</v>
      </c>
      <c r="D608" s="9">
        <f>D609</f>
        <v>7720.2</v>
      </c>
      <c r="E608" s="9">
        <f>E609</f>
        <v>7720.2</v>
      </c>
      <c r="F608" s="9">
        <f t="shared" ref="F608:G609" si="337">F609</f>
        <v>5239.8</v>
      </c>
      <c r="G608" s="9">
        <f t="shared" si="337"/>
        <v>5239.8</v>
      </c>
      <c r="H608" s="9">
        <f>H609</f>
        <v>5190.3377499999997</v>
      </c>
      <c r="I608" s="9">
        <f t="shared" si="329"/>
        <v>67.230612548897696</v>
      </c>
      <c r="J608" s="9">
        <f t="shared" si="330"/>
        <v>99.056027901828301</v>
      </c>
    </row>
    <row r="609" spans="1:10">
      <c r="A609" s="8" t="s">
        <v>26</v>
      </c>
      <c r="B609" s="1" t="s">
        <v>851</v>
      </c>
      <c r="C609" s="1" t="s">
        <v>27</v>
      </c>
      <c r="D609" s="9">
        <f>D610</f>
        <v>7720.2</v>
      </c>
      <c r="E609" s="9">
        <f>E610</f>
        <v>7720.2</v>
      </c>
      <c r="F609" s="9">
        <f t="shared" si="337"/>
        <v>5239.8</v>
      </c>
      <c r="G609" s="9">
        <f t="shared" si="337"/>
        <v>5239.8</v>
      </c>
      <c r="H609" s="9">
        <f>H610</f>
        <v>5190.3377499999997</v>
      </c>
      <c r="I609" s="9">
        <f t="shared" si="329"/>
        <v>67.230612548897696</v>
      </c>
      <c r="J609" s="9">
        <f t="shared" si="330"/>
        <v>99.056027901828301</v>
      </c>
    </row>
    <row r="610" spans="1:10">
      <c r="A610" s="8" t="s">
        <v>352</v>
      </c>
      <c r="B610" s="1" t="s">
        <v>851</v>
      </c>
      <c r="C610" s="1" t="s">
        <v>353</v>
      </c>
      <c r="D610" s="9">
        <f>ведомство!G2115</f>
        <v>7720.2</v>
      </c>
      <c r="E610" s="9">
        <f>ведомство!H2115</f>
        <v>7720.2</v>
      </c>
      <c r="F610" s="9">
        <f>ведомство!I2115</f>
        <v>5239.8</v>
      </c>
      <c r="G610" s="9">
        <f>ведомство!J2115</f>
        <v>5239.8</v>
      </c>
      <c r="H610" s="9">
        <f>ведомство!K2115</f>
        <v>5190.3377499999997</v>
      </c>
      <c r="I610" s="9">
        <f t="shared" si="329"/>
        <v>67.230612548897696</v>
      </c>
      <c r="J610" s="9">
        <f t="shared" si="330"/>
        <v>99.056027901828301</v>
      </c>
    </row>
    <row r="611" spans="1:10" ht="38.25">
      <c r="A611" s="8" t="s">
        <v>876</v>
      </c>
      <c r="B611" s="1" t="s">
        <v>877</v>
      </c>
      <c r="C611" s="1" t="s">
        <v>0</v>
      </c>
      <c r="D611" s="9">
        <f>D612+D614</f>
        <v>384989.6</v>
      </c>
      <c r="E611" s="9">
        <f>E612+E614</f>
        <v>384989.62</v>
      </c>
      <c r="F611" s="9">
        <f t="shared" ref="F611:G611" si="338">F612+F614</f>
        <v>241480.35100000002</v>
      </c>
      <c r="G611" s="9">
        <f t="shared" si="338"/>
        <v>241480.35100000002</v>
      </c>
      <c r="H611" s="9">
        <f>H612+H614</f>
        <v>241476.86859</v>
      </c>
      <c r="I611" s="9">
        <f t="shared" si="329"/>
        <v>62.722955644882063</v>
      </c>
      <c r="J611" s="9">
        <f t="shared" si="330"/>
        <v>99.99855789094822</v>
      </c>
    </row>
    <row r="612" spans="1:10" ht="25.5">
      <c r="A612" s="8" t="s">
        <v>64</v>
      </c>
      <c r="B612" s="1" t="s">
        <v>877</v>
      </c>
      <c r="C612" s="1" t="s">
        <v>65</v>
      </c>
      <c r="D612" s="9">
        <f>D613</f>
        <v>11718.3</v>
      </c>
      <c r="E612" s="9">
        <f>E613</f>
        <v>11718.334000000001</v>
      </c>
      <c r="F612" s="9">
        <f t="shared" ref="F612:G612" si="339">F613</f>
        <v>6319.5720000000001</v>
      </c>
      <c r="G612" s="9">
        <f t="shared" si="339"/>
        <v>6319.5720000000001</v>
      </c>
      <c r="H612" s="9">
        <f>H613</f>
        <v>6316.0902699999997</v>
      </c>
      <c r="I612" s="9">
        <f t="shared" si="329"/>
        <v>53.899216987670762</v>
      </c>
      <c r="J612" s="9">
        <f t="shared" si="330"/>
        <v>99.94490560436688</v>
      </c>
    </row>
    <row r="613" spans="1:10" ht="25.5">
      <c r="A613" s="8" t="s">
        <v>66</v>
      </c>
      <c r="B613" s="1" t="s">
        <v>877</v>
      </c>
      <c r="C613" s="1" t="s">
        <v>67</v>
      </c>
      <c r="D613" s="9">
        <f>ведомство!G2182</f>
        <v>11718.3</v>
      </c>
      <c r="E613" s="9">
        <f>ведомство!H2182</f>
        <v>11718.334000000001</v>
      </c>
      <c r="F613" s="9">
        <f>ведомство!I2182</f>
        <v>6319.5720000000001</v>
      </c>
      <c r="G613" s="9">
        <f>ведомство!J2182</f>
        <v>6319.5720000000001</v>
      </c>
      <c r="H613" s="9">
        <f>ведомство!K2182</f>
        <v>6316.0902699999997</v>
      </c>
      <c r="I613" s="9">
        <f t="shared" si="329"/>
        <v>53.899216987670762</v>
      </c>
      <c r="J613" s="9">
        <f t="shared" si="330"/>
        <v>99.94490560436688</v>
      </c>
    </row>
    <row r="614" spans="1:10">
      <c r="A614" s="8" t="s">
        <v>68</v>
      </c>
      <c r="B614" s="1" t="s">
        <v>877</v>
      </c>
      <c r="C614" s="1" t="s">
        <v>69</v>
      </c>
      <c r="D614" s="9">
        <f>D615</f>
        <v>373271.3</v>
      </c>
      <c r="E614" s="9">
        <f>E615</f>
        <v>373271.28600000002</v>
      </c>
      <c r="F614" s="9">
        <f t="shared" ref="F614:G614" si="340">F615</f>
        <v>235160.77900000001</v>
      </c>
      <c r="G614" s="9">
        <f t="shared" si="340"/>
        <v>235160.77900000001</v>
      </c>
      <c r="H614" s="9">
        <f>H615</f>
        <v>235160.77832000001</v>
      </c>
      <c r="I614" s="9">
        <f t="shared" si="329"/>
        <v>62.999964674486108</v>
      </c>
      <c r="J614" s="9">
        <f t="shared" si="330"/>
        <v>99.999999710836136</v>
      </c>
    </row>
    <row r="615" spans="1:10">
      <c r="A615" s="8" t="s">
        <v>463</v>
      </c>
      <c r="B615" s="1" t="s">
        <v>877</v>
      </c>
      <c r="C615" s="1" t="s">
        <v>464</v>
      </c>
      <c r="D615" s="9">
        <f>ведомство!G2184</f>
        <v>373271.3</v>
      </c>
      <c r="E615" s="9">
        <f>ведомство!H2184</f>
        <v>373271.28600000002</v>
      </c>
      <c r="F615" s="9">
        <f>ведомство!I2184</f>
        <v>235160.77900000001</v>
      </c>
      <c r="G615" s="9">
        <f>ведомство!J2184</f>
        <v>235160.77900000001</v>
      </c>
      <c r="H615" s="9">
        <f>ведомство!K2184</f>
        <v>235160.77832000001</v>
      </c>
      <c r="I615" s="9">
        <f t="shared" si="329"/>
        <v>62.999964674486108</v>
      </c>
      <c r="J615" s="9">
        <f t="shared" si="330"/>
        <v>99.999999710836136</v>
      </c>
    </row>
    <row r="616" spans="1:10">
      <c r="A616" s="4" t="s">
        <v>0</v>
      </c>
      <c r="B616" s="17" t="s">
        <v>0</v>
      </c>
      <c r="C616" s="5" t="s">
        <v>0</v>
      </c>
      <c r="D616" s="7" t="s">
        <v>0</v>
      </c>
      <c r="E616" s="7" t="s">
        <v>0</v>
      </c>
      <c r="F616" s="7" t="s">
        <v>0</v>
      </c>
      <c r="G616" s="7" t="s">
        <v>0</v>
      </c>
      <c r="H616" s="7" t="s">
        <v>0</v>
      </c>
      <c r="I616" s="7"/>
      <c r="J616" s="7"/>
    </row>
    <row r="617" spans="1:10">
      <c r="A617" s="4" t="s">
        <v>416</v>
      </c>
      <c r="B617" s="5" t="s">
        <v>417</v>
      </c>
      <c r="C617" s="5" t="s">
        <v>0</v>
      </c>
      <c r="D617" s="7">
        <f>D623+D627+D633+D618</f>
        <v>345015.7</v>
      </c>
      <c r="E617" s="7">
        <f>E623+E627+E633+E618</f>
        <v>410266.7</v>
      </c>
      <c r="F617" s="7">
        <f t="shared" ref="F617:G617" si="341">F623+F627+F633+F618</f>
        <v>403498.0809</v>
      </c>
      <c r="G617" s="7">
        <f t="shared" si="341"/>
        <v>403498.0809</v>
      </c>
      <c r="H617" s="7">
        <f>H623+H627+H633+H618</f>
        <v>377347.09809000004</v>
      </c>
      <c r="I617" s="7">
        <f t="shared" si="329"/>
        <v>91.976048285176461</v>
      </c>
      <c r="J617" s="7">
        <f t="shared" si="330"/>
        <v>93.518932543205565</v>
      </c>
    </row>
    <row r="618" spans="1:10" ht="25.5">
      <c r="A618" s="8" t="s">
        <v>1182</v>
      </c>
      <c r="B618" s="24" t="s">
        <v>1181</v>
      </c>
      <c r="C618" s="6"/>
      <c r="D618" s="22">
        <f>D619+D621</f>
        <v>0</v>
      </c>
      <c r="E618" s="22">
        <f>E619+E621</f>
        <v>65251</v>
      </c>
      <c r="F618" s="22">
        <f t="shared" ref="F618:G618" si="342">F619+F621</f>
        <v>63784.780899999998</v>
      </c>
      <c r="G618" s="22">
        <f t="shared" si="342"/>
        <v>63784.780899999998</v>
      </c>
      <c r="H618" s="22">
        <f>H619+H621</f>
        <v>63780.781000000003</v>
      </c>
      <c r="I618" s="9">
        <f t="shared" ref="I618:I622" si="343">H618/E618*100</f>
        <v>97.746825336010176</v>
      </c>
      <c r="J618" s="9">
        <f t="shared" ref="J618:J622" si="344">H618/F618*100</f>
        <v>99.993729068370925</v>
      </c>
    </row>
    <row r="619" spans="1:10">
      <c r="A619" s="8" t="s">
        <v>68</v>
      </c>
      <c r="B619" s="24" t="s">
        <v>1181</v>
      </c>
      <c r="C619" s="1">
        <v>300</v>
      </c>
      <c r="D619" s="22">
        <f>D620</f>
        <v>0</v>
      </c>
      <c r="E619" s="22">
        <f>E620</f>
        <v>55182.59</v>
      </c>
      <c r="F619" s="22">
        <f t="shared" ref="F619:G619" si="345">F620</f>
        <v>53716.370900000002</v>
      </c>
      <c r="G619" s="22">
        <f t="shared" si="345"/>
        <v>53716.370900000002</v>
      </c>
      <c r="H619" s="22">
        <f>H620</f>
        <v>53712.370999999999</v>
      </c>
      <c r="I619" s="9">
        <f t="shared" si="343"/>
        <v>97.335719472391574</v>
      </c>
      <c r="J619" s="9">
        <f t="shared" si="344"/>
        <v>99.99255366672584</v>
      </c>
    </row>
    <row r="620" spans="1:10" ht="25.5">
      <c r="A620" s="8" t="s">
        <v>151</v>
      </c>
      <c r="B620" s="24" t="s">
        <v>1181</v>
      </c>
      <c r="C620" s="1">
        <v>320</v>
      </c>
      <c r="D620" s="22">
        <f>ведомство!G1876</f>
        <v>0</v>
      </c>
      <c r="E620" s="22">
        <f>ведомство!H1876</f>
        <v>55182.59</v>
      </c>
      <c r="F620" s="22">
        <f>ведомство!I1876</f>
        <v>53716.370900000002</v>
      </c>
      <c r="G620" s="22">
        <f>ведомство!J1876</f>
        <v>53716.370900000002</v>
      </c>
      <c r="H620" s="22">
        <f>ведомство!K1876</f>
        <v>53712.370999999999</v>
      </c>
      <c r="I620" s="9">
        <f t="shared" si="343"/>
        <v>97.335719472391574</v>
      </c>
      <c r="J620" s="9">
        <f t="shared" si="344"/>
        <v>99.99255366672584</v>
      </c>
    </row>
    <row r="621" spans="1:10" ht="25.5">
      <c r="A621" s="8" t="s">
        <v>80</v>
      </c>
      <c r="B621" s="24" t="s">
        <v>1181</v>
      </c>
      <c r="C621" s="1">
        <v>600</v>
      </c>
      <c r="D621" s="22">
        <f>D622</f>
        <v>0</v>
      </c>
      <c r="E621" s="22">
        <f>E622</f>
        <v>10068.41</v>
      </c>
      <c r="F621" s="22">
        <f t="shared" ref="F621:G621" si="346">F622</f>
        <v>10068.41</v>
      </c>
      <c r="G621" s="22">
        <f t="shared" si="346"/>
        <v>10068.41</v>
      </c>
      <c r="H621" s="22">
        <f>H622</f>
        <v>10068.41</v>
      </c>
      <c r="I621" s="9">
        <f t="shared" si="343"/>
        <v>100</v>
      </c>
      <c r="J621" s="9">
        <f t="shared" si="344"/>
        <v>100</v>
      </c>
    </row>
    <row r="622" spans="1:10">
      <c r="A622" s="8" t="s">
        <v>82</v>
      </c>
      <c r="B622" s="24" t="s">
        <v>1181</v>
      </c>
      <c r="C622" s="1">
        <v>620</v>
      </c>
      <c r="D622" s="22">
        <f>ведомство!G1878</f>
        <v>0</v>
      </c>
      <c r="E622" s="22">
        <f>ведомство!H1878</f>
        <v>10068.41</v>
      </c>
      <c r="F622" s="22">
        <f>ведомство!I1878</f>
        <v>10068.41</v>
      </c>
      <c r="G622" s="22">
        <f>ведомство!J1878</f>
        <v>10068.41</v>
      </c>
      <c r="H622" s="22">
        <f>ведомство!K1878</f>
        <v>10068.41</v>
      </c>
      <c r="I622" s="9">
        <f t="shared" si="343"/>
        <v>100</v>
      </c>
      <c r="J622" s="9">
        <f t="shared" si="344"/>
        <v>100</v>
      </c>
    </row>
    <row r="623" spans="1:10" ht="25.5">
      <c r="A623" s="8" t="s">
        <v>76</v>
      </c>
      <c r="B623" s="1" t="s">
        <v>761</v>
      </c>
      <c r="C623" s="1" t="s">
        <v>0</v>
      </c>
      <c r="D623" s="9">
        <f>D624</f>
        <v>30871</v>
      </c>
      <c r="E623" s="9">
        <f>E624</f>
        <v>30871.012000000002</v>
      </c>
      <c r="F623" s="9">
        <f t="shared" ref="F623:G623" si="347">F624</f>
        <v>26227.612000000001</v>
      </c>
      <c r="G623" s="9">
        <f t="shared" si="347"/>
        <v>26227.612000000001</v>
      </c>
      <c r="H623" s="9">
        <f>H624</f>
        <v>26227.612000000001</v>
      </c>
      <c r="I623" s="9">
        <f t="shared" si="329"/>
        <v>84.958704949484641</v>
      </c>
      <c r="J623" s="9">
        <f t="shared" si="330"/>
        <v>100</v>
      </c>
    </row>
    <row r="624" spans="1:10" ht="25.5">
      <c r="A624" s="8" t="s">
        <v>80</v>
      </c>
      <c r="B624" s="1" t="s">
        <v>761</v>
      </c>
      <c r="C624" s="1" t="s">
        <v>81</v>
      </c>
      <c r="D624" s="9">
        <f>D625+D626</f>
        <v>30871</v>
      </c>
      <c r="E624" s="9">
        <f>E625+E626</f>
        <v>30871.012000000002</v>
      </c>
      <c r="F624" s="9">
        <f t="shared" ref="F624:G624" si="348">F625+F626</f>
        <v>26227.612000000001</v>
      </c>
      <c r="G624" s="9">
        <f t="shared" si="348"/>
        <v>26227.612000000001</v>
      </c>
      <c r="H624" s="9">
        <f>H625+H626</f>
        <v>26227.612000000001</v>
      </c>
      <c r="I624" s="9">
        <f t="shared" si="329"/>
        <v>84.958704949484641</v>
      </c>
      <c r="J624" s="9">
        <f t="shared" si="330"/>
        <v>100</v>
      </c>
    </row>
    <row r="625" spans="1:10">
      <c r="A625" s="8" t="s">
        <v>271</v>
      </c>
      <c r="B625" s="1" t="s">
        <v>761</v>
      </c>
      <c r="C625" s="1" t="s">
        <v>272</v>
      </c>
      <c r="D625" s="9">
        <f>ведомство!G1881</f>
        <v>778</v>
      </c>
      <c r="E625" s="9">
        <f>ведомство!H1881</f>
        <v>778</v>
      </c>
      <c r="F625" s="9">
        <f>ведомство!I1881</f>
        <v>778</v>
      </c>
      <c r="G625" s="9">
        <f>ведомство!J1881</f>
        <v>778</v>
      </c>
      <c r="H625" s="9">
        <f>ведомство!K1881</f>
        <v>778</v>
      </c>
      <c r="I625" s="9">
        <f t="shared" si="329"/>
        <v>100</v>
      </c>
      <c r="J625" s="9">
        <f t="shared" si="330"/>
        <v>100</v>
      </c>
    </row>
    <row r="626" spans="1:10">
      <c r="A626" s="8" t="s">
        <v>82</v>
      </c>
      <c r="B626" s="1" t="s">
        <v>761</v>
      </c>
      <c r="C626" s="1" t="s">
        <v>83</v>
      </c>
      <c r="D626" s="9">
        <f>ведомство!G1882</f>
        <v>30093</v>
      </c>
      <c r="E626" s="9">
        <f>ведомство!H1882</f>
        <v>30093.012000000002</v>
      </c>
      <c r="F626" s="9">
        <f>ведомство!I1882</f>
        <v>25449.612000000001</v>
      </c>
      <c r="G626" s="9">
        <f>ведомство!J1882</f>
        <v>25449.612000000001</v>
      </c>
      <c r="H626" s="9">
        <f>ведомство!K1882</f>
        <v>25449.612000000001</v>
      </c>
      <c r="I626" s="9">
        <f t="shared" si="329"/>
        <v>84.569839669089959</v>
      </c>
      <c r="J626" s="9">
        <f t="shared" si="330"/>
        <v>100</v>
      </c>
    </row>
    <row r="627" spans="1:10">
      <c r="A627" s="8" t="s">
        <v>418</v>
      </c>
      <c r="B627" s="1" t="s">
        <v>419</v>
      </c>
      <c r="C627" s="1" t="s">
        <v>0</v>
      </c>
      <c r="D627" s="9">
        <f>D628+D630</f>
        <v>114445.7</v>
      </c>
      <c r="E627" s="9">
        <f>E628+E630</f>
        <v>114445.68799999999</v>
      </c>
      <c r="F627" s="9">
        <f t="shared" ref="F627:G627" si="349">F628+F630</f>
        <v>114445.68799999999</v>
      </c>
      <c r="G627" s="9">
        <f t="shared" si="349"/>
        <v>114445.68799999999</v>
      </c>
      <c r="H627" s="9">
        <f>H628+H630</f>
        <v>111244.7432</v>
      </c>
      <c r="I627" s="9">
        <f t="shared" si="329"/>
        <v>97.20308833304405</v>
      </c>
      <c r="J627" s="9">
        <f t="shared" si="330"/>
        <v>97.20308833304405</v>
      </c>
    </row>
    <row r="628" spans="1:10">
      <c r="A628" s="8" t="s">
        <v>68</v>
      </c>
      <c r="B628" s="1" t="s">
        <v>419</v>
      </c>
      <c r="C628" s="1" t="s">
        <v>69</v>
      </c>
      <c r="D628" s="9">
        <f>D629</f>
        <v>70685.7</v>
      </c>
      <c r="E628" s="9">
        <f>E629</f>
        <v>70685.687999999995</v>
      </c>
      <c r="F628" s="9">
        <f t="shared" ref="F628:G628" si="350">F629</f>
        <v>70685.687999999995</v>
      </c>
      <c r="G628" s="9">
        <f t="shared" si="350"/>
        <v>70685.687999999995</v>
      </c>
      <c r="H628" s="9">
        <f>H629</f>
        <v>67534.407999999996</v>
      </c>
      <c r="I628" s="9">
        <f t="shared" si="329"/>
        <v>95.541841511113262</v>
      </c>
      <c r="J628" s="9">
        <f t="shared" si="330"/>
        <v>95.541841511113262</v>
      </c>
    </row>
    <row r="629" spans="1:10" ht="25.5">
      <c r="A629" s="8" t="s">
        <v>151</v>
      </c>
      <c r="B629" s="1" t="s">
        <v>419</v>
      </c>
      <c r="C629" s="1" t="s">
        <v>152</v>
      </c>
      <c r="D629" s="9">
        <f>ведомство!G1885</f>
        <v>70685.7</v>
      </c>
      <c r="E629" s="9">
        <f>ведомство!H1885</f>
        <v>70685.687999999995</v>
      </c>
      <c r="F629" s="9">
        <f>ведомство!I1885</f>
        <v>70685.687999999995</v>
      </c>
      <c r="G629" s="9">
        <f>ведомство!J1885</f>
        <v>70685.687999999995</v>
      </c>
      <c r="H629" s="9">
        <f>ведомство!K1885</f>
        <v>67534.407999999996</v>
      </c>
      <c r="I629" s="9">
        <f t="shared" si="329"/>
        <v>95.541841511113262</v>
      </c>
      <c r="J629" s="9">
        <f t="shared" si="330"/>
        <v>95.541841511113262</v>
      </c>
    </row>
    <row r="630" spans="1:10" ht="25.5">
      <c r="A630" s="8" t="s">
        <v>80</v>
      </c>
      <c r="B630" s="1" t="s">
        <v>419</v>
      </c>
      <c r="C630" s="1" t="s">
        <v>81</v>
      </c>
      <c r="D630" s="9">
        <f>D631+D632</f>
        <v>43760</v>
      </c>
      <c r="E630" s="9">
        <f>E631+E632</f>
        <v>43760</v>
      </c>
      <c r="F630" s="9">
        <f t="shared" ref="F630:G630" si="351">F631+F632</f>
        <v>43760</v>
      </c>
      <c r="G630" s="9">
        <f t="shared" si="351"/>
        <v>43760</v>
      </c>
      <c r="H630" s="9">
        <f>H631+H632</f>
        <v>43710.335200000001</v>
      </c>
      <c r="I630" s="9">
        <f t="shared" si="329"/>
        <v>99.886506398537477</v>
      </c>
      <c r="J630" s="9">
        <f t="shared" si="330"/>
        <v>99.886506398537477</v>
      </c>
    </row>
    <row r="631" spans="1:10">
      <c r="A631" s="8" t="s">
        <v>271</v>
      </c>
      <c r="B631" s="1" t="s">
        <v>419</v>
      </c>
      <c r="C631" s="1" t="s">
        <v>272</v>
      </c>
      <c r="D631" s="9">
        <f>ведомство!G1056</f>
        <v>41760</v>
      </c>
      <c r="E631" s="9">
        <f>ведомство!H1056</f>
        <v>41760</v>
      </c>
      <c r="F631" s="9">
        <f>ведомство!I1056</f>
        <v>41760</v>
      </c>
      <c r="G631" s="9">
        <f>ведомство!J1056</f>
        <v>41760</v>
      </c>
      <c r="H631" s="9">
        <f>ведомство!K1056</f>
        <v>41713.036</v>
      </c>
      <c r="I631" s="9">
        <f t="shared" si="329"/>
        <v>99.887538314176254</v>
      </c>
      <c r="J631" s="9">
        <f t="shared" si="330"/>
        <v>99.887538314176254</v>
      </c>
    </row>
    <row r="632" spans="1:10">
      <c r="A632" s="8" t="s">
        <v>82</v>
      </c>
      <c r="B632" s="1" t="s">
        <v>419</v>
      </c>
      <c r="C632" s="1" t="s">
        <v>83</v>
      </c>
      <c r="D632" s="9">
        <f>ведомство!G1057</f>
        <v>2000</v>
      </c>
      <c r="E632" s="9">
        <f>ведомство!H1057</f>
        <v>2000</v>
      </c>
      <c r="F632" s="9">
        <f>ведомство!I1057</f>
        <v>2000</v>
      </c>
      <c r="G632" s="9">
        <f>ведомство!J1057</f>
        <v>2000</v>
      </c>
      <c r="H632" s="9">
        <f>ведомство!K1057</f>
        <v>1997.2991999999999</v>
      </c>
      <c r="I632" s="9">
        <f t="shared" si="329"/>
        <v>99.864959999999996</v>
      </c>
      <c r="J632" s="9">
        <f t="shared" si="330"/>
        <v>99.864959999999996</v>
      </c>
    </row>
    <row r="633" spans="1:10">
      <c r="A633" s="8" t="s">
        <v>762</v>
      </c>
      <c r="B633" s="1" t="s">
        <v>763</v>
      </c>
      <c r="C633" s="1" t="s">
        <v>0</v>
      </c>
      <c r="D633" s="9">
        <f>D634</f>
        <v>199699</v>
      </c>
      <c r="E633" s="9">
        <f>E634</f>
        <v>199699</v>
      </c>
      <c r="F633" s="9">
        <f t="shared" ref="F633:G634" si="352">F634</f>
        <v>199040</v>
      </c>
      <c r="G633" s="9">
        <f t="shared" si="352"/>
        <v>199040</v>
      </c>
      <c r="H633" s="9">
        <f>H634</f>
        <v>176093.96189000001</v>
      </c>
      <c r="I633" s="9">
        <f t="shared" si="329"/>
        <v>88.179691380527686</v>
      </c>
      <c r="J633" s="9">
        <f t="shared" si="330"/>
        <v>88.471644840233125</v>
      </c>
    </row>
    <row r="634" spans="1:10">
      <c r="A634" s="8" t="s">
        <v>26</v>
      </c>
      <c r="B634" s="1" t="s">
        <v>763</v>
      </c>
      <c r="C634" s="1" t="s">
        <v>27</v>
      </c>
      <c r="D634" s="9">
        <f>D635</f>
        <v>199699</v>
      </c>
      <c r="E634" s="9">
        <f>E635</f>
        <v>199699</v>
      </c>
      <c r="F634" s="9">
        <f t="shared" si="352"/>
        <v>199040</v>
      </c>
      <c r="G634" s="9">
        <f t="shared" si="352"/>
        <v>199040</v>
      </c>
      <c r="H634" s="9">
        <f>H635</f>
        <v>176093.96189000001</v>
      </c>
      <c r="I634" s="9">
        <f t="shared" si="329"/>
        <v>88.179691380527686</v>
      </c>
      <c r="J634" s="9">
        <f t="shared" si="330"/>
        <v>88.471644840233125</v>
      </c>
    </row>
    <row r="635" spans="1:10">
      <c r="A635" s="8" t="s">
        <v>56</v>
      </c>
      <c r="B635" s="1" t="s">
        <v>763</v>
      </c>
      <c r="C635" s="1" t="s">
        <v>57</v>
      </c>
      <c r="D635" s="9">
        <f>ведомство!G1888</f>
        <v>199699</v>
      </c>
      <c r="E635" s="9">
        <f>ведомство!H1888</f>
        <v>199699</v>
      </c>
      <c r="F635" s="9">
        <f>ведомство!I1888</f>
        <v>199040</v>
      </c>
      <c r="G635" s="9">
        <f>ведомство!J1888</f>
        <v>199040</v>
      </c>
      <c r="H635" s="9">
        <f>ведомство!K1888</f>
        <v>176093.96189000001</v>
      </c>
      <c r="I635" s="9">
        <f t="shared" si="329"/>
        <v>88.179691380527686</v>
      </c>
      <c r="J635" s="9">
        <f t="shared" si="330"/>
        <v>88.471644840233125</v>
      </c>
    </row>
    <row r="636" spans="1:10">
      <c r="A636" s="4" t="s">
        <v>0</v>
      </c>
      <c r="B636" s="17" t="s">
        <v>0</v>
      </c>
      <c r="C636" s="5" t="s">
        <v>0</v>
      </c>
      <c r="D636" s="7" t="s">
        <v>0</v>
      </c>
      <c r="E636" s="7" t="s">
        <v>0</v>
      </c>
      <c r="F636" s="7" t="s">
        <v>0</v>
      </c>
      <c r="G636" s="7" t="s">
        <v>0</v>
      </c>
      <c r="H636" s="7" t="s">
        <v>0</v>
      </c>
      <c r="I636" s="7"/>
      <c r="J636" s="7"/>
    </row>
    <row r="637" spans="1:10">
      <c r="A637" s="4" t="s">
        <v>778</v>
      </c>
      <c r="B637" s="5" t="s">
        <v>779</v>
      </c>
      <c r="C637" s="5" t="s">
        <v>0</v>
      </c>
      <c r="D637" s="7">
        <f t="shared" ref="D637:H639" si="353">D638</f>
        <v>22466.2</v>
      </c>
      <c r="E637" s="7">
        <f t="shared" si="353"/>
        <v>22466.2</v>
      </c>
      <c r="F637" s="7">
        <f t="shared" si="353"/>
        <v>17946.2</v>
      </c>
      <c r="G637" s="7">
        <f t="shared" si="353"/>
        <v>17946.2</v>
      </c>
      <c r="H637" s="7">
        <f t="shared" si="353"/>
        <v>17946.2</v>
      </c>
      <c r="I637" s="7">
        <f t="shared" si="329"/>
        <v>79.880887733573104</v>
      </c>
      <c r="J637" s="7">
        <f t="shared" si="330"/>
        <v>100</v>
      </c>
    </row>
    <row r="638" spans="1:10" ht="25.5">
      <c r="A638" s="8" t="s">
        <v>76</v>
      </c>
      <c r="B638" s="1" t="s">
        <v>780</v>
      </c>
      <c r="C638" s="1" t="s">
        <v>0</v>
      </c>
      <c r="D638" s="9">
        <f t="shared" si="353"/>
        <v>22466.2</v>
      </c>
      <c r="E638" s="9">
        <f t="shared" si="353"/>
        <v>22466.2</v>
      </c>
      <c r="F638" s="9">
        <f t="shared" si="353"/>
        <v>17946.2</v>
      </c>
      <c r="G638" s="9">
        <f t="shared" si="353"/>
        <v>17946.2</v>
      </c>
      <c r="H638" s="9">
        <f t="shared" si="353"/>
        <v>17946.2</v>
      </c>
      <c r="I638" s="9">
        <f t="shared" si="329"/>
        <v>79.880887733573104</v>
      </c>
      <c r="J638" s="9">
        <f t="shared" si="330"/>
        <v>100</v>
      </c>
    </row>
    <row r="639" spans="1:10" ht="25.5">
      <c r="A639" s="8" t="s">
        <v>80</v>
      </c>
      <c r="B639" s="1" t="s">
        <v>780</v>
      </c>
      <c r="C639" s="1" t="s">
        <v>81</v>
      </c>
      <c r="D639" s="9">
        <f t="shared" si="353"/>
        <v>22466.2</v>
      </c>
      <c r="E639" s="9">
        <f t="shared" si="353"/>
        <v>22466.2</v>
      </c>
      <c r="F639" s="9">
        <f t="shared" si="353"/>
        <v>17946.2</v>
      </c>
      <c r="G639" s="9">
        <f t="shared" si="353"/>
        <v>17946.2</v>
      </c>
      <c r="H639" s="9">
        <f t="shared" si="353"/>
        <v>17946.2</v>
      </c>
      <c r="I639" s="9">
        <f t="shared" si="329"/>
        <v>79.880887733573104</v>
      </c>
      <c r="J639" s="9">
        <f t="shared" si="330"/>
        <v>100</v>
      </c>
    </row>
    <row r="640" spans="1:10">
      <c r="A640" s="8" t="s">
        <v>271</v>
      </c>
      <c r="B640" s="1" t="s">
        <v>780</v>
      </c>
      <c r="C640" s="1" t="s">
        <v>272</v>
      </c>
      <c r="D640" s="9">
        <f>ведомство!G1929</f>
        <v>22466.2</v>
      </c>
      <c r="E640" s="9">
        <f>ведомство!H1929</f>
        <v>22466.2</v>
      </c>
      <c r="F640" s="9">
        <f>ведомство!I1929</f>
        <v>17946.2</v>
      </c>
      <c r="G640" s="9">
        <f>ведомство!J1929</f>
        <v>17946.2</v>
      </c>
      <c r="H640" s="9">
        <f>ведомство!K1929</f>
        <v>17946.2</v>
      </c>
      <c r="I640" s="9">
        <f t="shared" si="329"/>
        <v>79.880887733573104</v>
      </c>
      <c r="J640" s="9">
        <f t="shared" si="330"/>
        <v>100</v>
      </c>
    </row>
    <row r="641" spans="1:10">
      <c r="A641" s="4" t="s">
        <v>0</v>
      </c>
      <c r="B641" s="17" t="s">
        <v>0</v>
      </c>
      <c r="C641" s="5" t="s">
        <v>0</v>
      </c>
      <c r="D641" s="7" t="s">
        <v>0</v>
      </c>
      <c r="E641" s="7" t="s">
        <v>0</v>
      </c>
      <c r="F641" s="7" t="s">
        <v>0</v>
      </c>
      <c r="G641" s="7" t="s">
        <v>0</v>
      </c>
      <c r="H641" s="7" t="s">
        <v>0</v>
      </c>
      <c r="I641" s="7"/>
      <c r="J641" s="7"/>
    </row>
    <row r="642" spans="1:10" ht="25.5">
      <c r="A642" s="4" t="s">
        <v>781</v>
      </c>
      <c r="B642" s="5" t="s">
        <v>782</v>
      </c>
      <c r="C642" s="5" t="s">
        <v>0</v>
      </c>
      <c r="D642" s="7">
        <f>D643+D647+D651+D656</f>
        <v>36256.800000000003</v>
      </c>
      <c r="E642" s="7">
        <f>E643+E647+E651+E656</f>
        <v>36256.79</v>
      </c>
      <c r="F642" s="7">
        <f t="shared" ref="F642:G642" si="354">F643+F647+F651+F656</f>
        <v>28416.009020000001</v>
      </c>
      <c r="G642" s="7">
        <f t="shared" si="354"/>
        <v>28416.009020000001</v>
      </c>
      <c r="H642" s="7">
        <f>H643+H647+H651+H656</f>
        <v>28316.009020000001</v>
      </c>
      <c r="I642" s="7">
        <f t="shared" si="329"/>
        <v>78.098499674130011</v>
      </c>
      <c r="J642" s="7">
        <f t="shared" si="330"/>
        <v>99.648085697292615</v>
      </c>
    </row>
    <row r="643" spans="1:10" ht="25.5">
      <c r="A643" s="8" t="s">
        <v>76</v>
      </c>
      <c r="B643" s="1" t="s">
        <v>783</v>
      </c>
      <c r="C643" s="1" t="s">
        <v>0</v>
      </c>
      <c r="D643" s="9">
        <f>D644</f>
        <v>20582.900000000001</v>
      </c>
      <c r="E643" s="9">
        <f>E644</f>
        <v>20582.900000000001</v>
      </c>
      <c r="F643" s="9">
        <f t="shared" ref="F643:G643" si="355">F644</f>
        <v>17725.275000000001</v>
      </c>
      <c r="G643" s="9">
        <f t="shared" si="355"/>
        <v>17725.275000000001</v>
      </c>
      <c r="H643" s="9">
        <f>H644</f>
        <v>17725.275000000001</v>
      </c>
      <c r="I643" s="9">
        <f t="shared" si="329"/>
        <v>86.116509335419209</v>
      </c>
      <c r="J643" s="9">
        <f t="shared" si="330"/>
        <v>100</v>
      </c>
    </row>
    <row r="644" spans="1:10" ht="25.5">
      <c r="A644" s="8" t="s">
        <v>80</v>
      </c>
      <c r="B644" s="1" t="s">
        <v>783</v>
      </c>
      <c r="C644" s="1" t="s">
        <v>81</v>
      </c>
      <c r="D644" s="9">
        <f>D645+D646</f>
        <v>20582.900000000001</v>
      </c>
      <c r="E644" s="9">
        <f>E645+E646</f>
        <v>20582.900000000001</v>
      </c>
      <c r="F644" s="9">
        <f t="shared" ref="F644:G644" si="356">F645+F646</f>
        <v>17725.275000000001</v>
      </c>
      <c r="G644" s="9">
        <f t="shared" si="356"/>
        <v>17725.275000000001</v>
      </c>
      <c r="H644" s="9">
        <f>H645+H646</f>
        <v>17725.275000000001</v>
      </c>
      <c r="I644" s="9">
        <f t="shared" si="329"/>
        <v>86.116509335419209</v>
      </c>
      <c r="J644" s="9">
        <f t="shared" si="330"/>
        <v>100</v>
      </c>
    </row>
    <row r="645" spans="1:10">
      <c r="A645" s="8" t="s">
        <v>271</v>
      </c>
      <c r="B645" s="1" t="s">
        <v>783</v>
      </c>
      <c r="C645" s="1" t="s">
        <v>272</v>
      </c>
      <c r="D645" s="9">
        <f>ведомство!G1933</f>
        <v>20182.900000000001</v>
      </c>
      <c r="E645" s="9">
        <f>ведомство!H1933</f>
        <v>20182.900000000001</v>
      </c>
      <c r="F645" s="9">
        <f>ведомство!I1933</f>
        <v>17325.275000000001</v>
      </c>
      <c r="G645" s="9">
        <f>ведомство!J1933</f>
        <v>17325.275000000001</v>
      </c>
      <c r="H645" s="9">
        <f>ведомство!K1933</f>
        <v>17325.275000000001</v>
      </c>
      <c r="I645" s="9">
        <f t="shared" si="329"/>
        <v>85.841355801198048</v>
      </c>
      <c r="J645" s="9">
        <f t="shared" si="330"/>
        <v>100</v>
      </c>
    </row>
    <row r="646" spans="1:10">
      <c r="A646" s="8" t="s">
        <v>82</v>
      </c>
      <c r="B646" s="1" t="s">
        <v>783</v>
      </c>
      <c r="C646" s="1" t="s">
        <v>83</v>
      </c>
      <c r="D646" s="9">
        <f>ведомство!G1934</f>
        <v>400</v>
      </c>
      <c r="E646" s="9">
        <f>ведомство!H1934</f>
        <v>400</v>
      </c>
      <c r="F646" s="9">
        <f>ведомство!I1934</f>
        <v>400</v>
      </c>
      <c r="G646" s="9">
        <f>ведомство!J1934</f>
        <v>400</v>
      </c>
      <c r="H646" s="9">
        <f>ведомство!K1934</f>
        <v>400</v>
      </c>
      <c r="I646" s="9">
        <f t="shared" si="329"/>
        <v>100</v>
      </c>
      <c r="J646" s="9">
        <f t="shared" si="330"/>
        <v>100</v>
      </c>
    </row>
    <row r="647" spans="1:10" ht="25.5">
      <c r="A647" s="8" t="s">
        <v>880</v>
      </c>
      <c r="B647" s="1" t="s">
        <v>881</v>
      </c>
      <c r="C647" s="1" t="s">
        <v>0</v>
      </c>
      <c r="D647" s="9">
        <f>D648</f>
        <v>520</v>
      </c>
      <c r="E647" s="9">
        <f>E648</f>
        <v>520</v>
      </c>
      <c r="F647" s="9">
        <f t="shared" ref="F647:G647" si="357">F648</f>
        <v>370</v>
      </c>
      <c r="G647" s="9">
        <f t="shared" si="357"/>
        <v>370</v>
      </c>
      <c r="H647" s="9">
        <f>H648</f>
        <v>270</v>
      </c>
      <c r="I647" s="9">
        <f t="shared" si="329"/>
        <v>51.923076923076927</v>
      </c>
      <c r="J647" s="9">
        <f t="shared" si="330"/>
        <v>72.972972972972968</v>
      </c>
    </row>
    <row r="648" spans="1:10" ht="25.5">
      <c r="A648" s="8" t="s">
        <v>80</v>
      </c>
      <c r="B648" s="1" t="s">
        <v>881</v>
      </c>
      <c r="C648" s="1" t="s">
        <v>81</v>
      </c>
      <c r="D648" s="9">
        <f>D649</f>
        <v>520</v>
      </c>
      <c r="E648" s="9">
        <f>E649+E650</f>
        <v>520</v>
      </c>
      <c r="F648" s="9">
        <f t="shared" ref="F648:G648" si="358">F649+F650</f>
        <v>370</v>
      </c>
      <c r="G648" s="9">
        <f t="shared" si="358"/>
        <v>370</v>
      </c>
      <c r="H648" s="9">
        <f>H649+H650</f>
        <v>270</v>
      </c>
      <c r="I648" s="9">
        <f t="shared" si="329"/>
        <v>51.923076923076927</v>
      </c>
      <c r="J648" s="9">
        <f t="shared" si="330"/>
        <v>72.972972972972968</v>
      </c>
    </row>
    <row r="649" spans="1:10">
      <c r="A649" s="8" t="s">
        <v>271</v>
      </c>
      <c r="B649" s="1" t="s">
        <v>881</v>
      </c>
      <c r="C649" s="1" t="s">
        <v>272</v>
      </c>
      <c r="D649" s="9">
        <f>ведомство!G2194</f>
        <v>520</v>
      </c>
      <c r="E649" s="9">
        <f>ведомство!H2194</f>
        <v>270</v>
      </c>
      <c r="F649" s="9">
        <f>ведомство!I2194</f>
        <v>270</v>
      </c>
      <c r="G649" s="9">
        <f>ведомство!J2194</f>
        <v>270</v>
      </c>
      <c r="H649" s="9">
        <f>ведомство!K2194</f>
        <v>270</v>
      </c>
      <c r="I649" s="9">
        <f t="shared" si="329"/>
        <v>100</v>
      </c>
      <c r="J649" s="9">
        <f t="shared" si="330"/>
        <v>100</v>
      </c>
    </row>
    <row r="650" spans="1:10" s="93" customFormat="1">
      <c r="A650" s="8" t="s">
        <v>82</v>
      </c>
      <c r="B650" s="1" t="s">
        <v>881</v>
      </c>
      <c r="C650" s="1">
        <v>620</v>
      </c>
      <c r="D650" s="9"/>
      <c r="E650" s="9">
        <f>ведомство!H2195</f>
        <v>250</v>
      </c>
      <c r="F650" s="9">
        <f>ведомство!I2195</f>
        <v>100</v>
      </c>
      <c r="G650" s="9">
        <f>ведомство!J2195</f>
        <v>100</v>
      </c>
      <c r="H650" s="9">
        <f>ведомство!K2195</f>
        <v>0</v>
      </c>
      <c r="I650" s="9">
        <f t="shared" si="329"/>
        <v>0</v>
      </c>
      <c r="J650" s="9">
        <f t="shared" si="330"/>
        <v>0</v>
      </c>
    </row>
    <row r="651" spans="1:10" ht="76.5">
      <c r="A651" s="8" t="s">
        <v>852</v>
      </c>
      <c r="B651" s="1" t="s">
        <v>853</v>
      </c>
      <c r="C651" s="1" t="s">
        <v>0</v>
      </c>
      <c r="D651" s="9">
        <f>D652+D654</f>
        <v>11434.8</v>
      </c>
      <c r="E651" s="9">
        <f>E652+E654</f>
        <v>11434.789999999999</v>
      </c>
      <c r="F651" s="9">
        <f t="shared" ref="F651:G651" si="359">F652+F654</f>
        <v>7638.1590199999991</v>
      </c>
      <c r="G651" s="9">
        <f t="shared" si="359"/>
        <v>7638.1590199999991</v>
      </c>
      <c r="H651" s="9">
        <f>H652+H654</f>
        <v>7638.1590199999991</v>
      </c>
      <c r="I651" s="9">
        <f t="shared" si="329"/>
        <v>66.797545210712215</v>
      </c>
      <c r="J651" s="9">
        <f t="shared" si="330"/>
        <v>100</v>
      </c>
    </row>
    <row r="652" spans="1:10" ht="25.5">
      <c r="A652" s="8" t="s">
        <v>64</v>
      </c>
      <c r="B652" s="1" t="s">
        <v>853</v>
      </c>
      <c r="C652" s="1" t="s">
        <v>65</v>
      </c>
      <c r="D652" s="9">
        <f>D653</f>
        <v>156.9</v>
      </c>
      <c r="E652" s="9">
        <f>E653</f>
        <v>156.88999999999999</v>
      </c>
      <c r="F652" s="9">
        <f t="shared" ref="F652:G652" si="360">F653</f>
        <v>114.04376000000001</v>
      </c>
      <c r="G652" s="9">
        <f t="shared" si="360"/>
        <v>114.04376000000001</v>
      </c>
      <c r="H652" s="9">
        <f>H653</f>
        <v>114.04376000000001</v>
      </c>
      <c r="I652" s="9">
        <f t="shared" si="329"/>
        <v>72.690267066097277</v>
      </c>
      <c r="J652" s="9">
        <f t="shared" si="330"/>
        <v>100</v>
      </c>
    </row>
    <row r="653" spans="1:10" ht="25.5">
      <c r="A653" s="8" t="s">
        <v>66</v>
      </c>
      <c r="B653" s="1" t="s">
        <v>853</v>
      </c>
      <c r="C653" s="1" t="s">
        <v>67</v>
      </c>
      <c r="D653" s="9">
        <f>ведомство!G2120</f>
        <v>156.9</v>
      </c>
      <c r="E653" s="9">
        <f>ведомство!H2120</f>
        <v>156.88999999999999</v>
      </c>
      <c r="F653" s="9">
        <f>ведомство!I2120</f>
        <v>114.04376000000001</v>
      </c>
      <c r="G653" s="9">
        <f>ведомство!J2120</f>
        <v>114.04376000000001</v>
      </c>
      <c r="H653" s="9">
        <f>ведомство!K2120</f>
        <v>114.04376000000001</v>
      </c>
      <c r="I653" s="9">
        <f t="shared" si="329"/>
        <v>72.690267066097277</v>
      </c>
      <c r="J653" s="9">
        <f t="shared" si="330"/>
        <v>100</v>
      </c>
    </row>
    <row r="654" spans="1:10">
      <c r="A654" s="8" t="s">
        <v>68</v>
      </c>
      <c r="B654" s="1" t="s">
        <v>853</v>
      </c>
      <c r="C654" s="1" t="s">
        <v>69</v>
      </c>
      <c r="D654" s="9">
        <f>D655</f>
        <v>11277.9</v>
      </c>
      <c r="E654" s="9">
        <f>E655</f>
        <v>11277.9</v>
      </c>
      <c r="F654" s="9">
        <f t="shared" ref="F654:G654" si="361">F655</f>
        <v>7524.1152599999996</v>
      </c>
      <c r="G654" s="9">
        <f t="shared" si="361"/>
        <v>7524.1152599999996</v>
      </c>
      <c r="H654" s="9">
        <f>H655</f>
        <v>7524.1152599999996</v>
      </c>
      <c r="I654" s="9">
        <f t="shared" si="329"/>
        <v>66.715569919931909</v>
      </c>
      <c r="J654" s="9">
        <f t="shared" si="330"/>
        <v>100</v>
      </c>
    </row>
    <row r="655" spans="1:10" ht="25.5">
      <c r="A655" s="8" t="s">
        <v>151</v>
      </c>
      <c r="B655" s="1" t="s">
        <v>853</v>
      </c>
      <c r="C655" s="1" t="s">
        <v>152</v>
      </c>
      <c r="D655" s="9">
        <f>ведомство!G2122</f>
        <v>11277.9</v>
      </c>
      <c r="E655" s="9">
        <f>ведомство!H2122</f>
        <v>11277.9</v>
      </c>
      <c r="F655" s="9">
        <f>ведомство!I2122</f>
        <v>7524.1152599999996</v>
      </c>
      <c r="G655" s="9">
        <f>ведомство!J2122</f>
        <v>7524.1152599999996</v>
      </c>
      <c r="H655" s="9">
        <f>ведомство!K2122</f>
        <v>7524.1152599999996</v>
      </c>
      <c r="I655" s="9">
        <f t="shared" si="329"/>
        <v>66.715569919931909</v>
      </c>
      <c r="J655" s="9">
        <f t="shared" si="330"/>
        <v>100</v>
      </c>
    </row>
    <row r="656" spans="1:10" ht="25.5">
      <c r="A656" s="8" t="s">
        <v>882</v>
      </c>
      <c r="B656" s="1" t="s">
        <v>883</v>
      </c>
      <c r="C656" s="1" t="s">
        <v>0</v>
      </c>
      <c r="D656" s="9">
        <f>D657</f>
        <v>3719.1</v>
      </c>
      <c r="E656" s="9">
        <f>E657</f>
        <v>3719.1</v>
      </c>
      <c r="F656" s="9">
        <f t="shared" ref="F656:G657" si="362">F657</f>
        <v>2682.5749999999998</v>
      </c>
      <c r="G656" s="9">
        <f t="shared" si="362"/>
        <v>2682.5749999999998</v>
      </c>
      <c r="H656" s="9">
        <f>H657</f>
        <v>2682.5749999999998</v>
      </c>
      <c r="I656" s="9">
        <f t="shared" si="329"/>
        <v>72.129681912290593</v>
      </c>
      <c r="J656" s="9">
        <f t="shared" si="330"/>
        <v>100</v>
      </c>
    </row>
    <row r="657" spans="1:10">
      <c r="A657" s="8" t="s">
        <v>26</v>
      </c>
      <c r="B657" s="1" t="s">
        <v>883</v>
      </c>
      <c r="C657" s="1" t="s">
        <v>27</v>
      </c>
      <c r="D657" s="9">
        <f>D658</f>
        <v>3719.1</v>
      </c>
      <c r="E657" s="9">
        <f>E658</f>
        <v>3719.1</v>
      </c>
      <c r="F657" s="9">
        <f t="shared" si="362"/>
        <v>2682.5749999999998</v>
      </c>
      <c r="G657" s="9">
        <f t="shared" si="362"/>
        <v>2682.5749999999998</v>
      </c>
      <c r="H657" s="9">
        <f>H658</f>
        <v>2682.5749999999998</v>
      </c>
      <c r="I657" s="9">
        <f t="shared" si="329"/>
        <v>72.129681912290593</v>
      </c>
      <c r="J657" s="9">
        <f t="shared" si="330"/>
        <v>100</v>
      </c>
    </row>
    <row r="658" spans="1:10">
      <c r="A658" s="8" t="s">
        <v>28</v>
      </c>
      <c r="B658" s="1" t="s">
        <v>883</v>
      </c>
      <c r="C658" s="1" t="s">
        <v>29</v>
      </c>
      <c r="D658" s="9">
        <f>ведомство!G2198</f>
        <v>3719.1</v>
      </c>
      <c r="E658" s="9">
        <f>ведомство!H2198</f>
        <v>3719.1</v>
      </c>
      <c r="F658" s="9">
        <f>ведомство!I2198</f>
        <v>2682.5749999999998</v>
      </c>
      <c r="G658" s="9">
        <f>ведомство!J2198</f>
        <v>2682.5749999999998</v>
      </c>
      <c r="H658" s="9">
        <f>ведомство!K2198</f>
        <v>2682.5749999999998</v>
      </c>
      <c r="I658" s="9">
        <f t="shared" si="329"/>
        <v>72.129681912290593</v>
      </c>
      <c r="J658" s="9">
        <f t="shared" si="330"/>
        <v>100</v>
      </c>
    </row>
    <row r="659" spans="1:10">
      <c r="A659" s="4" t="s">
        <v>0</v>
      </c>
      <c r="B659" s="17" t="s">
        <v>0</v>
      </c>
      <c r="C659" s="5" t="s">
        <v>0</v>
      </c>
      <c r="D659" s="7" t="s">
        <v>0</v>
      </c>
      <c r="E659" s="7" t="s">
        <v>0</v>
      </c>
      <c r="F659" s="7" t="s">
        <v>0</v>
      </c>
      <c r="G659" s="7" t="s">
        <v>0</v>
      </c>
      <c r="H659" s="7" t="s">
        <v>0</v>
      </c>
      <c r="I659" s="7"/>
      <c r="J659" s="7"/>
    </row>
    <row r="660" spans="1:10" ht="25.5">
      <c r="A660" s="4" t="s">
        <v>884</v>
      </c>
      <c r="B660" s="5" t="s">
        <v>885</v>
      </c>
      <c r="C660" s="5" t="s">
        <v>0</v>
      </c>
      <c r="D660" s="7">
        <f>D661+D664+D667</f>
        <v>2275.4</v>
      </c>
      <c r="E660" s="7">
        <f>E661+E664+E667</f>
        <v>2275.4</v>
      </c>
      <c r="F660" s="7">
        <f t="shared" ref="F660:G660" si="363">F661+F664+F667</f>
        <v>1046</v>
      </c>
      <c r="G660" s="7">
        <f t="shared" si="363"/>
        <v>1046</v>
      </c>
      <c r="H660" s="7">
        <f>H661+H664+H667</f>
        <v>983</v>
      </c>
      <c r="I660" s="7">
        <f t="shared" si="329"/>
        <v>43.201195394216398</v>
      </c>
      <c r="J660" s="7">
        <f t="shared" si="330"/>
        <v>93.977055449330777</v>
      </c>
    </row>
    <row r="661" spans="1:10">
      <c r="A661" s="8" t="s">
        <v>924</v>
      </c>
      <c r="B661" s="1" t="s">
        <v>925</v>
      </c>
      <c r="C661" s="1" t="s">
        <v>0</v>
      </c>
      <c r="D661" s="9">
        <f>D662</f>
        <v>126</v>
      </c>
      <c r="E661" s="9">
        <f>E662</f>
        <v>126</v>
      </c>
      <c r="F661" s="9">
        <f t="shared" ref="F661:G662" si="364">F662</f>
        <v>126</v>
      </c>
      <c r="G661" s="9">
        <f t="shared" si="364"/>
        <v>126</v>
      </c>
      <c r="H661" s="9">
        <f>H662</f>
        <v>63</v>
      </c>
      <c r="I661" s="9">
        <f t="shared" si="329"/>
        <v>50</v>
      </c>
      <c r="J661" s="9">
        <f t="shared" si="330"/>
        <v>50</v>
      </c>
    </row>
    <row r="662" spans="1:10" ht="25.5">
      <c r="A662" s="8" t="s">
        <v>80</v>
      </c>
      <c r="B662" s="1" t="s">
        <v>925</v>
      </c>
      <c r="C662" s="1" t="s">
        <v>81</v>
      </c>
      <c r="D662" s="9">
        <f>D663</f>
        <v>126</v>
      </c>
      <c r="E662" s="9">
        <f>E663</f>
        <v>126</v>
      </c>
      <c r="F662" s="9">
        <f t="shared" si="364"/>
        <v>126</v>
      </c>
      <c r="G662" s="9">
        <f t="shared" si="364"/>
        <v>126</v>
      </c>
      <c r="H662" s="9">
        <f>H663</f>
        <v>63</v>
      </c>
      <c r="I662" s="9">
        <f t="shared" si="329"/>
        <v>50</v>
      </c>
      <c r="J662" s="9">
        <f t="shared" si="330"/>
        <v>50</v>
      </c>
    </row>
    <row r="663" spans="1:10">
      <c r="A663" s="8" t="s">
        <v>82</v>
      </c>
      <c r="B663" s="1" t="s">
        <v>925</v>
      </c>
      <c r="C663" s="1" t="s">
        <v>83</v>
      </c>
      <c r="D663" s="9">
        <f>ведомство!G2351</f>
        <v>126</v>
      </c>
      <c r="E663" s="9">
        <f>ведомство!H2351</f>
        <v>126</v>
      </c>
      <c r="F663" s="9">
        <f>ведомство!I2351</f>
        <v>126</v>
      </c>
      <c r="G663" s="9">
        <f>ведомство!J2351</f>
        <v>126</v>
      </c>
      <c r="H663" s="9">
        <f>ведомство!K2351</f>
        <v>63</v>
      </c>
      <c r="I663" s="9">
        <f t="shared" si="329"/>
        <v>50</v>
      </c>
      <c r="J663" s="9">
        <f t="shared" si="330"/>
        <v>50</v>
      </c>
    </row>
    <row r="664" spans="1:10" ht="25.5">
      <c r="A664" s="8" t="s">
        <v>774</v>
      </c>
      <c r="B664" s="1" t="s">
        <v>886</v>
      </c>
      <c r="C664" s="1" t="s">
        <v>0</v>
      </c>
      <c r="D664" s="9">
        <f>D665</f>
        <v>150</v>
      </c>
      <c r="E664" s="9">
        <f>E665</f>
        <v>150</v>
      </c>
      <c r="F664" s="9">
        <f t="shared" ref="F664:G665" si="365">F665</f>
        <v>0</v>
      </c>
      <c r="G664" s="9">
        <f t="shared" si="365"/>
        <v>0</v>
      </c>
      <c r="H664" s="9">
        <f>H665</f>
        <v>0</v>
      </c>
      <c r="I664" s="9">
        <f t="shared" si="329"/>
        <v>0</v>
      </c>
      <c r="J664" s="9">
        <v>0</v>
      </c>
    </row>
    <row r="665" spans="1:10" ht="25.5">
      <c r="A665" s="8" t="s">
        <v>64</v>
      </c>
      <c r="B665" s="1" t="s">
        <v>886</v>
      </c>
      <c r="C665" s="1" t="s">
        <v>65</v>
      </c>
      <c r="D665" s="9">
        <f>D666</f>
        <v>150</v>
      </c>
      <c r="E665" s="9">
        <f>E666</f>
        <v>150</v>
      </c>
      <c r="F665" s="9">
        <f t="shared" si="365"/>
        <v>0</v>
      </c>
      <c r="G665" s="9">
        <f t="shared" si="365"/>
        <v>0</v>
      </c>
      <c r="H665" s="9">
        <f>H666</f>
        <v>0</v>
      </c>
      <c r="I665" s="9">
        <f t="shared" ref="I665:I745" si="366">H665/E665*100</f>
        <v>0</v>
      </c>
      <c r="J665" s="9">
        <v>0</v>
      </c>
    </row>
    <row r="666" spans="1:10" ht="25.5">
      <c r="A666" s="8" t="s">
        <v>66</v>
      </c>
      <c r="B666" s="1" t="s">
        <v>886</v>
      </c>
      <c r="C666" s="1" t="s">
        <v>67</v>
      </c>
      <c r="D666" s="9">
        <f>ведомство!G2202</f>
        <v>150</v>
      </c>
      <c r="E666" s="9">
        <f>ведомство!H2202</f>
        <v>150</v>
      </c>
      <c r="F666" s="9">
        <f>ведомство!I2202</f>
        <v>0</v>
      </c>
      <c r="G666" s="9">
        <f>ведомство!J2202</f>
        <v>0</v>
      </c>
      <c r="H666" s="9">
        <f>ведомство!K2202</f>
        <v>0</v>
      </c>
      <c r="I666" s="9">
        <f t="shared" si="366"/>
        <v>0</v>
      </c>
      <c r="J666" s="9">
        <v>0</v>
      </c>
    </row>
    <row r="667" spans="1:10" ht="25.5">
      <c r="A667" s="8" t="s">
        <v>880</v>
      </c>
      <c r="B667" s="1" t="s">
        <v>887</v>
      </c>
      <c r="C667" s="1" t="s">
        <v>0</v>
      </c>
      <c r="D667" s="9">
        <f>D668</f>
        <v>1999.4</v>
      </c>
      <c r="E667" s="9">
        <f>E668</f>
        <v>1999.4</v>
      </c>
      <c r="F667" s="9">
        <f t="shared" ref="F667:G667" si="367">F668</f>
        <v>920</v>
      </c>
      <c r="G667" s="9">
        <f t="shared" si="367"/>
        <v>920</v>
      </c>
      <c r="H667" s="9">
        <f>H668</f>
        <v>920</v>
      </c>
      <c r="I667" s="9">
        <f t="shared" si="366"/>
        <v>46.013804141242368</v>
      </c>
      <c r="J667" s="9">
        <f t="shared" ref="J667:J745" si="368">H667/F667*100</f>
        <v>100</v>
      </c>
    </row>
    <row r="668" spans="1:10" ht="25.5">
      <c r="A668" s="8" t="s">
        <v>80</v>
      </c>
      <c r="B668" s="1" t="s">
        <v>887</v>
      </c>
      <c r="C668" s="1" t="s">
        <v>81</v>
      </c>
      <c r="D668" s="9">
        <f>D669</f>
        <v>1999.4</v>
      </c>
      <c r="E668" s="9">
        <f>E669+E670</f>
        <v>1999.4</v>
      </c>
      <c r="F668" s="9">
        <f t="shared" ref="F668:G668" si="369">F669+F670</f>
        <v>920</v>
      </c>
      <c r="G668" s="9">
        <f t="shared" si="369"/>
        <v>920</v>
      </c>
      <c r="H668" s="9">
        <f>H669+H670</f>
        <v>920</v>
      </c>
      <c r="I668" s="9">
        <f t="shared" si="366"/>
        <v>46.013804141242368</v>
      </c>
      <c r="J668" s="9">
        <f t="shared" si="368"/>
        <v>100</v>
      </c>
    </row>
    <row r="669" spans="1:10">
      <c r="A669" s="8" t="s">
        <v>271</v>
      </c>
      <c r="B669" s="1" t="s">
        <v>887</v>
      </c>
      <c r="C669" s="1" t="s">
        <v>272</v>
      </c>
      <c r="D669" s="9">
        <f>ведомство!G2205</f>
        <v>1999.4</v>
      </c>
      <c r="E669" s="9">
        <f>ведомство!H2205</f>
        <v>920</v>
      </c>
      <c r="F669" s="9">
        <f>ведомство!I2205</f>
        <v>920</v>
      </c>
      <c r="G669" s="9">
        <f>ведомство!J2205</f>
        <v>920</v>
      </c>
      <c r="H669" s="9">
        <f>ведомство!K2205</f>
        <v>920</v>
      </c>
      <c r="I669" s="9">
        <f t="shared" si="366"/>
        <v>100</v>
      </c>
      <c r="J669" s="9">
        <f t="shared" si="368"/>
        <v>100</v>
      </c>
    </row>
    <row r="670" spans="1:10" s="92" customFormat="1">
      <c r="A670" s="8" t="s">
        <v>82</v>
      </c>
      <c r="B670" s="1" t="s">
        <v>887</v>
      </c>
      <c r="C670" s="1">
        <v>620</v>
      </c>
      <c r="D670" s="9"/>
      <c r="E670" s="9">
        <f>ведомство!H2206</f>
        <v>1079.4000000000001</v>
      </c>
      <c r="F670" s="9">
        <f>ведомство!I2206</f>
        <v>0</v>
      </c>
      <c r="G670" s="9">
        <f>ведомство!J2206</f>
        <v>0</v>
      </c>
      <c r="H670" s="9">
        <f>ведомство!K2206</f>
        <v>0</v>
      </c>
      <c r="I670" s="9">
        <f t="shared" ref="I670" si="370">H670/E670*100</f>
        <v>0</v>
      </c>
      <c r="J670" s="9">
        <v>0</v>
      </c>
    </row>
    <row r="671" spans="1:10">
      <c r="A671" s="4" t="s">
        <v>0</v>
      </c>
      <c r="B671" s="17" t="s">
        <v>0</v>
      </c>
      <c r="C671" s="5" t="s">
        <v>0</v>
      </c>
      <c r="D671" s="7" t="s">
        <v>0</v>
      </c>
      <c r="E671" s="7" t="s">
        <v>0</v>
      </c>
      <c r="F671" s="7" t="s">
        <v>0</v>
      </c>
      <c r="G671" s="7" t="s">
        <v>0</v>
      </c>
      <c r="H671" s="7" t="s">
        <v>0</v>
      </c>
      <c r="I671" s="7"/>
      <c r="J671" s="7"/>
    </row>
    <row r="672" spans="1:10">
      <c r="A672" s="4" t="s">
        <v>301</v>
      </c>
      <c r="B672" s="5" t="s">
        <v>302</v>
      </c>
      <c r="C672" s="5" t="s">
        <v>0</v>
      </c>
      <c r="D672" s="7">
        <f>D681+D687+D690+D693+D696+D699</f>
        <v>8866.7999999999993</v>
      </c>
      <c r="E672" s="7">
        <f>E681+E687+E690+E693+E696+E699+E673</f>
        <v>21131.1</v>
      </c>
      <c r="F672" s="7">
        <f t="shared" ref="F672:G672" si="371">F681+F687+F690+F693+F696+F699+F673</f>
        <v>7574.9400000000005</v>
      </c>
      <c r="G672" s="7">
        <f t="shared" si="371"/>
        <v>7574.9400000000005</v>
      </c>
      <c r="H672" s="7">
        <f>H681+H687+H690+H693+H696+H699+H673</f>
        <v>5673.54</v>
      </c>
      <c r="I672" s="7">
        <f t="shared" si="366"/>
        <v>26.849241165864534</v>
      </c>
      <c r="J672" s="7">
        <f t="shared" si="368"/>
        <v>74.898811079691711</v>
      </c>
    </row>
    <row r="673" spans="1:10" s="91" customFormat="1" ht="25.5">
      <c r="A673" s="76" t="s">
        <v>1257</v>
      </c>
      <c r="B673" s="77" t="s">
        <v>1256</v>
      </c>
      <c r="C673" s="58"/>
      <c r="D673" s="22">
        <v>0</v>
      </c>
      <c r="E673" s="22">
        <f>E674+E676+E678</f>
        <v>12264.3</v>
      </c>
      <c r="F673" s="22">
        <f t="shared" ref="F673:G673" si="372">F674+F676+F678</f>
        <v>4035.54</v>
      </c>
      <c r="G673" s="22">
        <f t="shared" si="372"/>
        <v>4035.54</v>
      </c>
      <c r="H673" s="22">
        <f>H674+H676+H678</f>
        <v>4035.54</v>
      </c>
      <c r="I673" s="22">
        <f t="shared" ref="I673:I675" si="373">H673/E673*100</f>
        <v>32.904772388150974</v>
      </c>
      <c r="J673" s="22">
        <f t="shared" ref="J673:J675" si="374">H673/F673*100</f>
        <v>100</v>
      </c>
    </row>
    <row r="674" spans="1:10" s="91" customFormat="1" ht="25.5">
      <c r="A674" s="59" t="s">
        <v>64</v>
      </c>
      <c r="B674" s="77" t="s">
        <v>1256</v>
      </c>
      <c r="C674" s="28">
        <v>200</v>
      </c>
      <c r="D674" s="22">
        <v>0</v>
      </c>
      <c r="E674" s="22">
        <f>E675</f>
        <v>3000</v>
      </c>
      <c r="F674" s="22">
        <f t="shared" ref="F674:G674" si="375">F675</f>
        <v>71.239999999999995</v>
      </c>
      <c r="G674" s="22">
        <f t="shared" si="375"/>
        <v>71.239999999999995</v>
      </c>
      <c r="H674" s="22">
        <f>H675</f>
        <v>71.239999999999995</v>
      </c>
      <c r="I674" s="22">
        <f t="shared" si="373"/>
        <v>2.3746666666666667</v>
      </c>
      <c r="J674" s="22">
        <f t="shared" si="374"/>
        <v>100</v>
      </c>
    </row>
    <row r="675" spans="1:10" s="91" customFormat="1" ht="25.5">
      <c r="A675" s="59" t="s">
        <v>66</v>
      </c>
      <c r="B675" s="77" t="s">
        <v>1256</v>
      </c>
      <c r="C675" s="28">
        <v>240</v>
      </c>
      <c r="D675" s="22">
        <v>0</v>
      </c>
      <c r="E675" s="22">
        <f>ведомство!H548+ведомство!H1822</f>
        <v>3000</v>
      </c>
      <c r="F675" s="22">
        <f>ведомство!I548+ведомство!I1822</f>
        <v>71.239999999999995</v>
      </c>
      <c r="G675" s="22">
        <f>ведомство!J548+ведомство!J1822</f>
        <v>71.239999999999995</v>
      </c>
      <c r="H675" s="22">
        <f>ведомство!K548+ведомство!K1822</f>
        <v>71.239999999999995</v>
      </c>
      <c r="I675" s="22">
        <f t="shared" si="373"/>
        <v>2.3746666666666667</v>
      </c>
      <c r="J675" s="22">
        <f t="shared" si="374"/>
        <v>100</v>
      </c>
    </row>
    <row r="676" spans="1:10" s="91" customFormat="1">
      <c r="A676" s="59" t="s">
        <v>26</v>
      </c>
      <c r="B676" s="29" t="s">
        <v>1256</v>
      </c>
      <c r="C676" s="28">
        <v>500</v>
      </c>
      <c r="D676" s="22">
        <v>0</v>
      </c>
      <c r="E676" s="22">
        <f>E677</f>
        <v>3000</v>
      </c>
      <c r="F676" s="22">
        <f t="shared" ref="F676:G676" si="376">F677</f>
        <v>0</v>
      </c>
      <c r="G676" s="22">
        <f t="shared" si="376"/>
        <v>0</v>
      </c>
      <c r="H676" s="22">
        <f>H677</f>
        <v>0</v>
      </c>
      <c r="I676" s="22">
        <f t="shared" ref="I676:I679" si="377">H676/E676*100</f>
        <v>0</v>
      </c>
      <c r="J676" s="22">
        <v>0</v>
      </c>
    </row>
    <row r="677" spans="1:10" s="91" customFormat="1">
      <c r="A677" s="59" t="s">
        <v>56</v>
      </c>
      <c r="B677" s="29" t="s">
        <v>1256</v>
      </c>
      <c r="C677" s="28">
        <v>520</v>
      </c>
      <c r="D677" s="22">
        <v>0</v>
      </c>
      <c r="E677" s="22">
        <f>ведомство!H807+ведомство!H1627+ведомство!H2355</f>
        <v>3000</v>
      </c>
      <c r="F677" s="22">
        <f>ведомство!I807+ведомство!I1627+ведомство!I2355</f>
        <v>0</v>
      </c>
      <c r="G677" s="22">
        <f>ведомство!J807+ведомство!J1627+ведомство!J2355</f>
        <v>0</v>
      </c>
      <c r="H677" s="22">
        <f>ведомство!K807+ведомство!K1627+ведомство!K2355</f>
        <v>0</v>
      </c>
      <c r="I677" s="22">
        <f t="shared" si="377"/>
        <v>0</v>
      </c>
      <c r="J677" s="22">
        <v>0</v>
      </c>
    </row>
    <row r="678" spans="1:10" s="91" customFormat="1" ht="25.5">
      <c r="A678" s="59" t="s">
        <v>80</v>
      </c>
      <c r="B678" s="29" t="s">
        <v>1256</v>
      </c>
      <c r="C678" s="28">
        <v>600</v>
      </c>
      <c r="D678" s="22">
        <v>0</v>
      </c>
      <c r="E678" s="22">
        <f>E679+E680</f>
        <v>6264.3</v>
      </c>
      <c r="F678" s="22">
        <f t="shared" ref="F678:G678" si="378">F679+F680</f>
        <v>3964.3</v>
      </c>
      <c r="G678" s="22">
        <f t="shared" si="378"/>
        <v>3964.3</v>
      </c>
      <c r="H678" s="22">
        <f>H679+H680</f>
        <v>3964.3</v>
      </c>
      <c r="I678" s="22">
        <f t="shared" si="377"/>
        <v>63.284006193828525</v>
      </c>
      <c r="J678" s="22">
        <f t="shared" ref="J678:J679" si="379">H678/F678*100</f>
        <v>100</v>
      </c>
    </row>
    <row r="679" spans="1:10" s="91" customFormat="1">
      <c r="A679" s="59" t="s">
        <v>271</v>
      </c>
      <c r="B679" s="29" t="s">
        <v>1256</v>
      </c>
      <c r="C679" s="28">
        <v>610</v>
      </c>
      <c r="D679" s="22">
        <v>0</v>
      </c>
      <c r="E679" s="22">
        <f>ведомство!H809+ведомство!H1938</f>
        <v>4664.3</v>
      </c>
      <c r="F679" s="22">
        <f>ведомство!I809+ведомство!I1938</f>
        <v>2764.3</v>
      </c>
      <c r="G679" s="22">
        <f>ведомство!J809+ведомство!J1938</f>
        <v>2764.3</v>
      </c>
      <c r="H679" s="22">
        <f>ведомство!K809+ведомство!K1938</f>
        <v>2764.3</v>
      </c>
      <c r="I679" s="22">
        <f t="shared" si="377"/>
        <v>59.265055849752379</v>
      </c>
      <c r="J679" s="22">
        <f t="shared" si="379"/>
        <v>100</v>
      </c>
    </row>
    <row r="680" spans="1:10" s="91" customFormat="1">
      <c r="A680" s="8" t="s">
        <v>82</v>
      </c>
      <c r="B680" s="29" t="s">
        <v>1256</v>
      </c>
      <c r="C680" s="28">
        <v>620</v>
      </c>
      <c r="D680" s="22">
        <v>0</v>
      </c>
      <c r="E680" s="22">
        <f>ведомство!H890+ведомство!H2357</f>
        <v>1600</v>
      </c>
      <c r="F680" s="22">
        <f>ведомство!I890+ведомство!I2357</f>
        <v>1200</v>
      </c>
      <c r="G680" s="22">
        <f>ведомство!J890+ведомство!J2357</f>
        <v>1200</v>
      </c>
      <c r="H680" s="22">
        <f>ведомство!K890+ведомство!K2357</f>
        <v>1200</v>
      </c>
      <c r="I680" s="22">
        <f t="shared" ref="I680" si="380">H680/E680*100</f>
        <v>75</v>
      </c>
      <c r="J680" s="22">
        <f t="shared" ref="J680" si="381">H680/F680*100</f>
        <v>100</v>
      </c>
    </row>
    <row r="681" spans="1:10" ht="25.5">
      <c r="A681" s="8" t="s">
        <v>76</v>
      </c>
      <c r="B681" s="1" t="s">
        <v>356</v>
      </c>
      <c r="C681" s="1" t="s">
        <v>0</v>
      </c>
      <c r="D681" s="9">
        <f>D682+D684</f>
        <v>4533.3999999999996</v>
      </c>
      <c r="E681" s="9">
        <f>E682+E684</f>
        <v>125</v>
      </c>
      <c r="F681" s="9">
        <f t="shared" ref="F681:G681" si="382">F682+F684</f>
        <v>125</v>
      </c>
      <c r="G681" s="9">
        <f t="shared" si="382"/>
        <v>125</v>
      </c>
      <c r="H681" s="9">
        <f>H682+H684</f>
        <v>125</v>
      </c>
      <c r="I681" s="9">
        <f t="shared" si="366"/>
        <v>100</v>
      </c>
      <c r="J681" s="9">
        <f t="shared" si="368"/>
        <v>100</v>
      </c>
    </row>
    <row r="682" spans="1:10" ht="25.5">
      <c r="A682" s="8" t="s">
        <v>64</v>
      </c>
      <c r="B682" s="1" t="s">
        <v>356</v>
      </c>
      <c r="C682" s="1" t="s">
        <v>65</v>
      </c>
      <c r="D682" s="9">
        <f>D683</f>
        <v>1981</v>
      </c>
      <c r="E682" s="9">
        <f>E683</f>
        <v>0</v>
      </c>
      <c r="F682" s="9">
        <f t="shared" ref="F682:G682" si="383">F683</f>
        <v>0</v>
      </c>
      <c r="G682" s="9">
        <f t="shared" si="383"/>
        <v>0</v>
      </c>
      <c r="H682" s="9">
        <f>H683</f>
        <v>0</v>
      </c>
      <c r="I682" s="9">
        <v>0</v>
      </c>
      <c r="J682" s="9">
        <v>0</v>
      </c>
    </row>
    <row r="683" spans="1:10" ht="25.5">
      <c r="A683" s="8" t="s">
        <v>66</v>
      </c>
      <c r="B683" s="1" t="s">
        <v>356</v>
      </c>
      <c r="C683" s="1" t="s">
        <v>67</v>
      </c>
      <c r="D683" s="9">
        <f>ведомство!G1828</f>
        <v>1981</v>
      </c>
      <c r="E683" s="9">
        <f>ведомство!H1828</f>
        <v>0</v>
      </c>
      <c r="F683" s="9">
        <f>ведомство!I1828</f>
        <v>0</v>
      </c>
      <c r="G683" s="9">
        <f>ведомство!J1828</f>
        <v>0</v>
      </c>
      <c r="H683" s="9">
        <f>ведомство!K1828</f>
        <v>0</v>
      </c>
      <c r="I683" s="9">
        <v>0</v>
      </c>
      <c r="J683" s="9">
        <v>0</v>
      </c>
    </row>
    <row r="684" spans="1:10" ht="25.5">
      <c r="A684" s="8" t="s">
        <v>80</v>
      </c>
      <c r="B684" s="1" t="s">
        <v>356</v>
      </c>
      <c r="C684" s="1" t="s">
        <v>81</v>
      </c>
      <c r="D684" s="9">
        <f>D685+D686</f>
        <v>2552.4</v>
      </c>
      <c r="E684" s="9">
        <f>E685+E686</f>
        <v>125</v>
      </c>
      <c r="F684" s="9">
        <f t="shared" ref="F684:G684" si="384">F685+F686</f>
        <v>125</v>
      </c>
      <c r="G684" s="9">
        <f t="shared" si="384"/>
        <v>125</v>
      </c>
      <c r="H684" s="9">
        <f>H685+H686</f>
        <v>125</v>
      </c>
      <c r="I684" s="9">
        <f t="shared" si="366"/>
        <v>100</v>
      </c>
      <c r="J684" s="9">
        <f t="shared" si="368"/>
        <v>100</v>
      </c>
    </row>
    <row r="685" spans="1:10">
      <c r="A685" s="8" t="s">
        <v>271</v>
      </c>
      <c r="B685" s="1" t="s">
        <v>356</v>
      </c>
      <c r="C685" s="1" t="s">
        <v>272</v>
      </c>
      <c r="D685" s="9">
        <f>ведомство!G812+ведомство!G1941</f>
        <v>1407</v>
      </c>
      <c r="E685" s="9">
        <f>ведомство!H812+ведомство!H1941</f>
        <v>125</v>
      </c>
      <c r="F685" s="9">
        <f>ведомство!I812+ведомство!I1941</f>
        <v>125</v>
      </c>
      <c r="G685" s="9">
        <f>ведомство!J812+ведомство!J1941</f>
        <v>125</v>
      </c>
      <c r="H685" s="9">
        <f>ведомство!K812+ведомство!K1941</f>
        <v>125</v>
      </c>
      <c r="I685" s="9">
        <f t="shared" si="366"/>
        <v>100</v>
      </c>
      <c r="J685" s="9">
        <f t="shared" si="368"/>
        <v>100</v>
      </c>
    </row>
    <row r="686" spans="1:10">
      <c r="A686" s="8" t="s">
        <v>82</v>
      </c>
      <c r="B686" s="1" t="s">
        <v>356</v>
      </c>
      <c r="C686" s="1" t="s">
        <v>83</v>
      </c>
      <c r="D686" s="9">
        <f>ведомство!G2360</f>
        <v>1145.4000000000001</v>
      </c>
      <c r="E686" s="9">
        <f>ведомство!H2360</f>
        <v>0</v>
      </c>
      <c r="F686" s="9">
        <f>ведомство!I2360</f>
        <v>0</v>
      </c>
      <c r="G686" s="9">
        <f>ведомство!J2360</f>
        <v>0</v>
      </c>
      <c r="H686" s="9">
        <f>ведомство!K2360</f>
        <v>0</v>
      </c>
      <c r="I686" s="9">
        <v>0</v>
      </c>
      <c r="J686" s="9">
        <v>0</v>
      </c>
    </row>
    <row r="687" spans="1:10">
      <c r="A687" s="8" t="s">
        <v>303</v>
      </c>
      <c r="B687" s="1" t="s">
        <v>304</v>
      </c>
      <c r="C687" s="1" t="s">
        <v>0</v>
      </c>
      <c r="D687" s="9">
        <f>D688</f>
        <v>1000</v>
      </c>
      <c r="E687" s="9">
        <f>E688</f>
        <v>0</v>
      </c>
      <c r="F687" s="9">
        <f t="shared" ref="F687:G688" si="385">F688</f>
        <v>0</v>
      </c>
      <c r="G687" s="9">
        <f t="shared" si="385"/>
        <v>0</v>
      </c>
      <c r="H687" s="9">
        <f>H688</f>
        <v>0</v>
      </c>
      <c r="I687" s="9">
        <v>0</v>
      </c>
      <c r="J687" s="9">
        <v>0</v>
      </c>
    </row>
    <row r="688" spans="1:10" ht="25.5">
      <c r="A688" s="8" t="s">
        <v>80</v>
      </c>
      <c r="B688" s="1" t="s">
        <v>304</v>
      </c>
      <c r="C688" s="1" t="s">
        <v>81</v>
      </c>
      <c r="D688" s="9">
        <f>D689</f>
        <v>1000</v>
      </c>
      <c r="E688" s="9">
        <f>E689</f>
        <v>0</v>
      </c>
      <c r="F688" s="9">
        <f t="shared" si="385"/>
        <v>0</v>
      </c>
      <c r="G688" s="9">
        <f t="shared" si="385"/>
        <v>0</v>
      </c>
      <c r="H688" s="9">
        <f>H689</f>
        <v>0</v>
      </c>
      <c r="I688" s="9">
        <v>0</v>
      </c>
      <c r="J688" s="9">
        <v>0</v>
      </c>
    </row>
    <row r="689" spans="1:10">
      <c r="A689" s="8" t="s">
        <v>271</v>
      </c>
      <c r="B689" s="1" t="s">
        <v>304</v>
      </c>
      <c r="C689" s="1" t="s">
        <v>272</v>
      </c>
      <c r="D689" s="9">
        <f>ведомство!G551</f>
        <v>1000</v>
      </c>
      <c r="E689" s="9">
        <f>ведомство!H551</f>
        <v>0</v>
      </c>
      <c r="F689" s="9">
        <f>ведомство!I551</f>
        <v>0</v>
      </c>
      <c r="G689" s="9">
        <f>ведомство!J551</f>
        <v>0</v>
      </c>
      <c r="H689" s="9">
        <f>ведомство!K551</f>
        <v>0</v>
      </c>
      <c r="I689" s="9">
        <v>0</v>
      </c>
      <c r="J689" s="9">
        <v>0</v>
      </c>
    </row>
    <row r="690" spans="1:10">
      <c r="A690" s="8" t="s">
        <v>1074</v>
      </c>
      <c r="B690" s="1" t="s">
        <v>1075</v>
      </c>
      <c r="C690" s="1" t="s">
        <v>0</v>
      </c>
      <c r="D690" s="9">
        <f>D691</f>
        <v>956</v>
      </c>
      <c r="E690" s="9">
        <f>E691</f>
        <v>956</v>
      </c>
      <c r="F690" s="9">
        <f t="shared" ref="F690:G691" si="386">F691</f>
        <v>356</v>
      </c>
      <c r="G690" s="9">
        <f t="shared" si="386"/>
        <v>356</v>
      </c>
      <c r="H690" s="9">
        <f>H691</f>
        <v>0</v>
      </c>
      <c r="I690" s="9">
        <f t="shared" ref="I690:I692" si="387">H690/E690*100</f>
        <v>0</v>
      </c>
      <c r="J690" s="9">
        <f t="shared" ref="J690:J692" si="388">H690/F690*100</f>
        <v>0</v>
      </c>
    </row>
    <row r="691" spans="1:10" ht="25.5">
      <c r="A691" s="8" t="s">
        <v>64</v>
      </c>
      <c r="B691" s="1" t="s">
        <v>1075</v>
      </c>
      <c r="C691" s="1" t="s">
        <v>65</v>
      </c>
      <c r="D691" s="9">
        <f>D692</f>
        <v>956</v>
      </c>
      <c r="E691" s="9">
        <f>E692</f>
        <v>956</v>
      </c>
      <c r="F691" s="9">
        <f t="shared" si="386"/>
        <v>356</v>
      </c>
      <c r="G691" s="9">
        <f t="shared" si="386"/>
        <v>356</v>
      </c>
      <c r="H691" s="9">
        <f>H692</f>
        <v>0</v>
      </c>
      <c r="I691" s="9">
        <f t="shared" si="387"/>
        <v>0</v>
      </c>
      <c r="J691" s="9">
        <f t="shared" si="388"/>
        <v>0</v>
      </c>
    </row>
    <row r="692" spans="1:10" ht="25.5">
      <c r="A692" s="8" t="s">
        <v>66</v>
      </c>
      <c r="B692" s="1" t="s">
        <v>1075</v>
      </c>
      <c r="C692" s="1" t="s">
        <v>67</v>
      </c>
      <c r="D692" s="9">
        <f>ведомство!G2848</f>
        <v>956</v>
      </c>
      <c r="E692" s="9">
        <f>ведомство!H2848</f>
        <v>956</v>
      </c>
      <c r="F692" s="9">
        <f>ведомство!I2848</f>
        <v>356</v>
      </c>
      <c r="G692" s="9">
        <f>ведомство!J2848</f>
        <v>356</v>
      </c>
      <c r="H692" s="9">
        <f>ведомство!K2848</f>
        <v>0</v>
      </c>
      <c r="I692" s="9">
        <f t="shared" si="387"/>
        <v>0</v>
      </c>
      <c r="J692" s="9">
        <f t="shared" si="388"/>
        <v>0</v>
      </c>
    </row>
    <row r="693" spans="1:10" ht="25.5">
      <c r="A693" s="8" t="s">
        <v>880</v>
      </c>
      <c r="B693" s="1" t="s">
        <v>888</v>
      </c>
      <c r="C693" s="1" t="s">
        <v>0</v>
      </c>
      <c r="D693" s="9">
        <f>D694</f>
        <v>100</v>
      </c>
      <c r="E693" s="9">
        <f>E694</f>
        <v>0</v>
      </c>
      <c r="F693" s="9">
        <f t="shared" ref="F693:G694" si="389">F694</f>
        <v>0</v>
      </c>
      <c r="G693" s="9">
        <f t="shared" si="389"/>
        <v>0</v>
      </c>
      <c r="H693" s="9">
        <f>H694</f>
        <v>0</v>
      </c>
      <c r="I693" s="9">
        <v>0</v>
      </c>
      <c r="J693" s="9">
        <v>0</v>
      </c>
    </row>
    <row r="694" spans="1:10" ht="25.5">
      <c r="A694" s="8" t="s">
        <v>80</v>
      </c>
      <c r="B694" s="1" t="s">
        <v>888</v>
      </c>
      <c r="C694" s="1" t="s">
        <v>81</v>
      </c>
      <c r="D694" s="9">
        <f>D695</f>
        <v>100</v>
      </c>
      <c r="E694" s="9">
        <f>E695</f>
        <v>0</v>
      </c>
      <c r="F694" s="9">
        <f t="shared" si="389"/>
        <v>0</v>
      </c>
      <c r="G694" s="9">
        <f t="shared" si="389"/>
        <v>0</v>
      </c>
      <c r="H694" s="9">
        <f>H695</f>
        <v>0</v>
      </c>
      <c r="I694" s="9">
        <v>0</v>
      </c>
      <c r="J694" s="9">
        <v>0</v>
      </c>
    </row>
    <row r="695" spans="1:10">
      <c r="A695" s="8" t="s">
        <v>271</v>
      </c>
      <c r="B695" s="1" t="s">
        <v>888</v>
      </c>
      <c r="C695" s="1" t="s">
        <v>272</v>
      </c>
      <c r="D695" s="9">
        <f>ведомство!G2210</f>
        <v>100</v>
      </c>
      <c r="E695" s="9">
        <f>ведомство!H2210</f>
        <v>0</v>
      </c>
      <c r="F695" s="9">
        <f>ведомство!I2210</f>
        <v>0</v>
      </c>
      <c r="G695" s="9">
        <f>ведомство!J2210</f>
        <v>0</v>
      </c>
      <c r="H695" s="9">
        <f>ведомство!K2210</f>
        <v>0</v>
      </c>
      <c r="I695" s="9">
        <v>0</v>
      </c>
      <c r="J695" s="9">
        <v>0</v>
      </c>
    </row>
    <row r="696" spans="1:10" ht="25.5">
      <c r="A696" s="8" t="s">
        <v>357</v>
      </c>
      <c r="B696" s="1" t="s">
        <v>358</v>
      </c>
      <c r="C696" s="1" t="s">
        <v>0</v>
      </c>
      <c r="D696" s="9">
        <f>D697</f>
        <v>2277.4</v>
      </c>
      <c r="E696" s="9">
        <f>E697</f>
        <v>0</v>
      </c>
      <c r="F696" s="9">
        <f t="shared" ref="F696:G697" si="390">F697</f>
        <v>0</v>
      </c>
      <c r="G696" s="9">
        <f t="shared" si="390"/>
        <v>0</v>
      </c>
      <c r="H696" s="9">
        <f>H697</f>
        <v>0</v>
      </c>
      <c r="I696" s="9">
        <v>0</v>
      </c>
      <c r="J696" s="9">
        <v>0</v>
      </c>
    </row>
    <row r="697" spans="1:10">
      <c r="A697" s="8" t="s">
        <v>26</v>
      </c>
      <c r="B697" s="1" t="s">
        <v>358</v>
      </c>
      <c r="C697" s="1" t="s">
        <v>27</v>
      </c>
      <c r="D697" s="9">
        <f>D698</f>
        <v>2277.4</v>
      </c>
      <c r="E697" s="9">
        <f>E698</f>
        <v>0</v>
      </c>
      <c r="F697" s="9">
        <f t="shared" si="390"/>
        <v>0</v>
      </c>
      <c r="G697" s="9">
        <f t="shared" si="390"/>
        <v>0</v>
      </c>
      <c r="H697" s="9">
        <f>H698</f>
        <v>0</v>
      </c>
      <c r="I697" s="9">
        <v>0</v>
      </c>
      <c r="J697" s="9">
        <v>0</v>
      </c>
    </row>
    <row r="698" spans="1:10">
      <c r="A698" s="8" t="s">
        <v>56</v>
      </c>
      <c r="B698" s="1" t="s">
        <v>358</v>
      </c>
      <c r="C698" s="1" t="s">
        <v>57</v>
      </c>
      <c r="D698" s="9">
        <f>ведомство!G815+ведомство!G1633</f>
        <v>2277.4</v>
      </c>
      <c r="E698" s="9">
        <f>ведомство!H815+ведомство!H1633</f>
        <v>0</v>
      </c>
      <c r="F698" s="9">
        <f>ведомство!I815+ведомство!I1633</f>
        <v>0</v>
      </c>
      <c r="G698" s="9">
        <f>ведомство!J815+ведомство!J1633</f>
        <v>0</v>
      </c>
      <c r="H698" s="9">
        <f>ведомство!K815+ведомство!K1633</f>
        <v>0</v>
      </c>
      <c r="I698" s="9">
        <v>0</v>
      </c>
      <c r="J698" s="9">
        <v>0</v>
      </c>
    </row>
    <row r="699" spans="1:10" ht="25.5">
      <c r="A699" s="8" t="s">
        <v>1116</v>
      </c>
      <c r="B699" s="24" t="s">
        <v>1115</v>
      </c>
      <c r="C699" s="1"/>
      <c r="D699" s="9">
        <f>D704</f>
        <v>0</v>
      </c>
      <c r="E699" s="9">
        <f>E704+E702+E700</f>
        <v>7785.8</v>
      </c>
      <c r="F699" s="9">
        <f t="shared" ref="F699:G699" si="391">F704+F702+F700</f>
        <v>3058.4</v>
      </c>
      <c r="G699" s="9">
        <f t="shared" si="391"/>
        <v>3058.4</v>
      </c>
      <c r="H699" s="9">
        <f>H704+H702+H700</f>
        <v>1513</v>
      </c>
      <c r="I699" s="9">
        <f t="shared" si="366"/>
        <v>19.432813583703666</v>
      </c>
      <c r="J699" s="9">
        <f t="shared" si="368"/>
        <v>49.470311273868688</v>
      </c>
    </row>
    <row r="700" spans="1:10" s="92" customFormat="1" ht="25.5">
      <c r="A700" s="8" t="s">
        <v>64</v>
      </c>
      <c r="B700" s="24" t="s">
        <v>1115</v>
      </c>
      <c r="C700" s="1" t="s">
        <v>65</v>
      </c>
      <c r="D700" s="9"/>
      <c r="E700" s="9">
        <f>E701</f>
        <v>1981</v>
      </c>
      <c r="F700" s="9">
        <f t="shared" ref="F700:G700" si="392">F701</f>
        <v>531</v>
      </c>
      <c r="G700" s="9">
        <f t="shared" si="392"/>
        <v>531</v>
      </c>
      <c r="H700" s="9">
        <f>H701</f>
        <v>131</v>
      </c>
      <c r="I700" s="9">
        <f t="shared" ref="I700:I701" si="393">H700/E700*100</f>
        <v>6.6128218071680971</v>
      </c>
      <c r="J700" s="9">
        <f t="shared" ref="J700:J701" si="394">H700/F700*100</f>
        <v>24.670433145009415</v>
      </c>
    </row>
    <row r="701" spans="1:10" s="92" customFormat="1" ht="25.5">
      <c r="A701" s="8" t="s">
        <v>66</v>
      </c>
      <c r="B701" s="24" t="s">
        <v>1115</v>
      </c>
      <c r="C701" s="1" t="s">
        <v>67</v>
      </c>
      <c r="D701" s="9"/>
      <c r="E701" s="9">
        <f>ведомство!H1825</f>
        <v>1981</v>
      </c>
      <c r="F701" s="9">
        <f>ведомство!I1825</f>
        <v>531</v>
      </c>
      <c r="G701" s="9">
        <f>ведомство!J1825</f>
        <v>531</v>
      </c>
      <c r="H701" s="9">
        <f>ведомство!K1825</f>
        <v>131</v>
      </c>
      <c r="I701" s="9">
        <f t="shared" si="393"/>
        <v>6.6128218071680971</v>
      </c>
      <c r="J701" s="9">
        <f t="shared" si="394"/>
        <v>24.670433145009415</v>
      </c>
    </row>
    <row r="702" spans="1:10" s="91" customFormat="1">
      <c r="A702" s="59" t="s">
        <v>26</v>
      </c>
      <c r="B702" s="24" t="s">
        <v>1115</v>
      </c>
      <c r="C702" s="1" t="s">
        <v>27</v>
      </c>
      <c r="D702" s="9"/>
      <c r="E702" s="9">
        <f>E703</f>
        <v>3077.4</v>
      </c>
      <c r="F702" s="9">
        <f t="shared" ref="F702:G702" si="395">F703</f>
        <v>800</v>
      </c>
      <c r="G702" s="9">
        <f t="shared" si="395"/>
        <v>800</v>
      </c>
      <c r="H702" s="9">
        <f>H703</f>
        <v>0</v>
      </c>
      <c r="I702" s="9">
        <f t="shared" ref="I702:I703" si="396">H702/E702*100</f>
        <v>0</v>
      </c>
      <c r="J702" s="9">
        <f t="shared" ref="J702:J703" si="397">H702/F702*100</f>
        <v>0</v>
      </c>
    </row>
    <row r="703" spans="1:10" s="91" customFormat="1">
      <c r="A703" s="59" t="s">
        <v>56</v>
      </c>
      <c r="B703" s="24" t="s">
        <v>1115</v>
      </c>
      <c r="C703" s="1" t="s">
        <v>57</v>
      </c>
      <c r="D703" s="9"/>
      <c r="E703" s="9">
        <f>ведомство!H818+ведомство!H2363+ведомство!H1630</f>
        <v>3077.4</v>
      </c>
      <c r="F703" s="9">
        <f>ведомство!I818+ведомство!I2363+ведомство!I1630</f>
        <v>800</v>
      </c>
      <c r="G703" s="9">
        <f>ведомство!J818+ведомство!J2363+ведомство!J1630</f>
        <v>800</v>
      </c>
      <c r="H703" s="9">
        <f>ведомство!K818+ведомство!K2363+ведомство!K1630</f>
        <v>0</v>
      </c>
      <c r="I703" s="9">
        <f t="shared" si="396"/>
        <v>0</v>
      </c>
      <c r="J703" s="9">
        <f t="shared" si="397"/>
        <v>0</v>
      </c>
    </row>
    <row r="704" spans="1:10" ht="25.5">
      <c r="A704" s="8" t="s">
        <v>80</v>
      </c>
      <c r="B704" s="24" t="s">
        <v>1115</v>
      </c>
      <c r="C704" s="1" t="s">
        <v>81</v>
      </c>
      <c r="D704" s="9">
        <f>D705</f>
        <v>0</v>
      </c>
      <c r="E704" s="9">
        <f>E705+E706</f>
        <v>2727.4</v>
      </c>
      <c r="F704" s="9">
        <f t="shared" ref="F704:G704" si="398">F705+F706</f>
        <v>1727.4</v>
      </c>
      <c r="G704" s="9">
        <f t="shared" si="398"/>
        <v>1727.4</v>
      </c>
      <c r="H704" s="9">
        <f>H705+H706</f>
        <v>1382</v>
      </c>
      <c r="I704" s="9">
        <f t="shared" ref="I704:I705" si="399">H704/E704*100</f>
        <v>50.670968688127886</v>
      </c>
      <c r="J704" s="9">
        <f t="shared" ref="J704:J705" si="400">H704/F704*100</f>
        <v>80.004631237698277</v>
      </c>
    </row>
    <row r="705" spans="1:10">
      <c r="A705" s="8" t="s">
        <v>271</v>
      </c>
      <c r="B705" s="24" t="s">
        <v>1115</v>
      </c>
      <c r="C705" s="1" t="s">
        <v>272</v>
      </c>
      <c r="D705" s="22">
        <f>ведомство!G554+ведомство!G1944+ведомство!G2213</f>
        <v>0</v>
      </c>
      <c r="E705" s="22">
        <f>ведомство!H554+ведомство!H1944+ведомство!H2213+ведомство!H820</f>
        <v>2382</v>
      </c>
      <c r="F705" s="22">
        <f>ведомство!I554+ведомство!I1944+ведомство!I2213+ведомство!I820</f>
        <v>1382</v>
      </c>
      <c r="G705" s="22">
        <f>ведомство!J554+ведомство!J1944+ведомство!J2213+ведомство!J820</f>
        <v>1382</v>
      </c>
      <c r="H705" s="22">
        <f>ведомство!K554+ведомство!K1944+ведомство!K2213+ведомство!K820</f>
        <v>1382</v>
      </c>
      <c r="I705" s="9">
        <f t="shared" si="399"/>
        <v>58.018471872376153</v>
      </c>
      <c r="J705" s="9">
        <f t="shared" si="400"/>
        <v>100</v>
      </c>
    </row>
    <row r="706" spans="1:10" s="92" customFormat="1">
      <c r="A706" s="8" t="s">
        <v>82</v>
      </c>
      <c r="B706" s="24" t="s">
        <v>1115</v>
      </c>
      <c r="C706" s="1">
        <v>620</v>
      </c>
      <c r="D706" s="22"/>
      <c r="E706" s="22">
        <f>ведомство!H2365</f>
        <v>345.4</v>
      </c>
      <c r="F706" s="22">
        <f>ведомство!I2365</f>
        <v>345.4</v>
      </c>
      <c r="G706" s="22">
        <f>ведомство!J2365</f>
        <v>345.4</v>
      </c>
      <c r="H706" s="22">
        <f>ведомство!K2365</f>
        <v>0</v>
      </c>
      <c r="I706" s="9">
        <f t="shared" ref="I706" si="401">H706/E706*100</f>
        <v>0</v>
      </c>
      <c r="J706" s="9">
        <f t="shared" ref="J706" si="402">H706/F706*100</f>
        <v>0</v>
      </c>
    </row>
    <row r="707" spans="1:10">
      <c r="A707" s="8"/>
      <c r="B707" s="24"/>
      <c r="C707" s="1"/>
      <c r="D707" s="22"/>
      <c r="E707" s="22"/>
      <c r="F707" s="22"/>
      <c r="G707" s="22"/>
      <c r="H707" s="22"/>
      <c r="I707" s="7"/>
      <c r="J707" s="7"/>
    </row>
    <row r="708" spans="1:10">
      <c r="A708" s="4" t="s">
        <v>440</v>
      </c>
      <c r="B708" s="5" t="s">
        <v>441</v>
      </c>
      <c r="C708" s="5" t="s">
        <v>0</v>
      </c>
      <c r="D708" s="7">
        <f>D709+D712+D716</f>
        <v>19704.7</v>
      </c>
      <c r="E708" s="7">
        <f>E709+E712+E716</f>
        <v>21594.7</v>
      </c>
      <c r="F708" s="7">
        <f t="shared" ref="F708:G708" si="403">F709+F712+F716</f>
        <v>18521.754000000001</v>
      </c>
      <c r="G708" s="7">
        <f t="shared" si="403"/>
        <v>18521.754000000001</v>
      </c>
      <c r="H708" s="7">
        <f>H709+H712+H716</f>
        <v>18521.711090000001</v>
      </c>
      <c r="I708" s="7">
        <f t="shared" si="366"/>
        <v>85.769707798672826</v>
      </c>
      <c r="J708" s="7">
        <f t="shared" si="368"/>
        <v>99.999768326477067</v>
      </c>
    </row>
    <row r="709" spans="1:10" ht="25.5">
      <c r="A709" s="8" t="s">
        <v>76</v>
      </c>
      <c r="B709" s="1" t="s">
        <v>784</v>
      </c>
      <c r="C709" s="1" t="s">
        <v>0</v>
      </c>
      <c r="D709" s="9">
        <f>D710</f>
        <v>19006</v>
      </c>
      <c r="E709" s="9">
        <f>E710</f>
        <v>20896</v>
      </c>
      <c r="F709" s="9">
        <f t="shared" ref="F709:G710" si="404">F710</f>
        <v>18033.054</v>
      </c>
      <c r="G709" s="9">
        <f t="shared" si="404"/>
        <v>18033.054</v>
      </c>
      <c r="H709" s="9">
        <f>H710</f>
        <v>18033.054</v>
      </c>
      <c r="I709" s="9">
        <f t="shared" si="366"/>
        <v>86.299071592649312</v>
      </c>
      <c r="J709" s="9">
        <f t="shared" si="368"/>
        <v>100</v>
      </c>
    </row>
    <row r="710" spans="1:10" ht="25.5">
      <c r="A710" s="8" t="s">
        <v>80</v>
      </c>
      <c r="B710" s="1" t="s">
        <v>784</v>
      </c>
      <c r="C710" s="1" t="s">
        <v>81</v>
      </c>
      <c r="D710" s="9">
        <f>D711</f>
        <v>19006</v>
      </c>
      <c r="E710" s="9">
        <f>E711</f>
        <v>20896</v>
      </c>
      <c r="F710" s="9">
        <f t="shared" si="404"/>
        <v>18033.054</v>
      </c>
      <c r="G710" s="9">
        <f t="shared" si="404"/>
        <v>18033.054</v>
      </c>
      <c r="H710" s="9">
        <f>H711</f>
        <v>18033.054</v>
      </c>
      <c r="I710" s="9">
        <f t="shared" si="366"/>
        <v>86.299071592649312</v>
      </c>
      <c r="J710" s="9">
        <f t="shared" si="368"/>
        <v>100</v>
      </c>
    </row>
    <row r="711" spans="1:10">
      <c r="A711" s="8" t="s">
        <v>271</v>
      </c>
      <c r="B711" s="1" t="s">
        <v>784</v>
      </c>
      <c r="C711" s="1" t="s">
        <v>272</v>
      </c>
      <c r="D711" s="9">
        <f>ведомство!G1948</f>
        <v>19006</v>
      </c>
      <c r="E711" s="9">
        <f>ведомство!H1948</f>
        <v>20896</v>
      </c>
      <c r="F711" s="9">
        <f>ведомство!I1948</f>
        <v>18033.054</v>
      </c>
      <c r="G711" s="9">
        <f>ведомство!J1948</f>
        <v>18033.054</v>
      </c>
      <c r="H711" s="9">
        <f>ведомство!K1948</f>
        <v>18033.054</v>
      </c>
      <c r="I711" s="9">
        <f t="shared" si="366"/>
        <v>86.299071592649312</v>
      </c>
      <c r="J711" s="9">
        <f t="shared" si="368"/>
        <v>100</v>
      </c>
    </row>
    <row r="712" spans="1:10">
      <c r="A712" s="8" t="s">
        <v>424</v>
      </c>
      <c r="B712" s="1" t="s">
        <v>442</v>
      </c>
      <c r="C712" s="1" t="s">
        <v>0</v>
      </c>
      <c r="D712" s="9">
        <f>D713</f>
        <v>600</v>
      </c>
      <c r="E712" s="9">
        <f>E713</f>
        <v>600</v>
      </c>
      <c r="F712" s="9">
        <f t="shared" ref="F712:G712" si="405">F713</f>
        <v>390</v>
      </c>
      <c r="G712" s="9">
        <f t="shared" si="405"/>
        <v>390</v>
      </c>
      <c r="H712" s="9">
        <f>H713</f>
        <v>390</v>
      </c>
      <c r="I712" s="9">
        <f t="shared" si="366"/>
        <v>65</v>
      </c>
      <c r="J712" s="9">
        <f t="shared" si="368"/>
        <v>100</v>
      </c>
    </row>
    <row r="713" spans="1:10" ht="25.5">
      <c r="A713" s="8" t="s">
        <v>80</v>
      </c>
      <c r="B713" s="1" t="s">
        <v>442</v>
      </c>
      <c r="C713" s="1" t="s">
        <v>81</v>
      </c>
      <c r="D713" s="9">
        <f>D714+D715</f>
        <v>600</v>
      </c>
      <c r="E713" s="9">
        <f>E714+E715</f>
        <v>600</v>
      </c>
      <c r="F713" s="9">
        <f t="shared" ref="F713:G713" si="406">F714+F715</f>
        <v>390</v>
      </c>
      <c r="G713" s="9">
        <f t="shared" si="406"/>
        <v>390</v>
      </c>
      <c r="H713" s="9">
        <f>H714+H715</f>
        <v>390</v>
      </c>
      <c r="I713" s="9">
        <f t="shared" si="366"/>
        <v>65</v>
      </c>
      <c r="J713" s="9">
        <f t="shared" si="368"/>
        <v>100</v>
      </c>
    </row>
    <row r="714" spans="1:10">
      <c r="A714" s="8" t="s">
        <v>271</v>
      </c>
      <c r="B714" s="1" t="s">
        <v>442</v>
      </c>
      <c r="C714" s="1" t="s">
        <v>272</v>
      </c>
      <c r="D714" s="9">
        <f>ведомство!G1171</f>
        <v>450</v>
      </c>
      <c r="E714" s="9">
        <f>ведомство!H1171</f>
        <v>405</v>
      </c>
      <c r="F714" s="9">
        <f>ведомство!I1171</f>
        <v>195</v>
      </c>
      <c r="G714" s="9">
        <f>ведомство!J1171</f>
        <v>195</v>
      </c>
      <c r="H714" s="9">
        <f>ведомство!K1171</f>
        <v>195</v>
      </c>
      <c r="I714" s="9">
        <f t="shared" si="366"/>
        <v>48.148148148148145</v>
      </c>
      <c r="J714" s="9">
        <f t="shared" si="368"/>
        <v>100</v>
      </c>
    </row>
    <row r="715" spans="1:10">
      <c r="A715" s="8" t="s">
        <v>82</v>
      </c>
      <c r="B715" s="1" t="s">
        <v>442</v>
      </c>
      <c r="C715" s="1" t="s">
        <v>83</v>
      </c>
      <c r="D715" s="9">
        <f>ведомство!G1172</f>
        <v>150</v>
      </c>
      <c r="E715" s="9">
        <f>ведомство!H1172</f>
        <v>195</v>
      </c>
      <c r="F715" s="9">
        <f>ведомство!I1172</f>
        <v>195</v>
      </c>
      <c r="G715" s="9">
        <f>ведомство!J1172</f>
        <v>195</v>
      </c>
      <c r="H715" s="9">
        <f>ведомство!K1172</f>
        <v>195</v>
      </c>
      <c r="I715" s="9">
        <f t="shared" si="366"/>
        <v>100</v>
      </c>
      <c r="J715" s="9">
        <f t="shared" si="368"/>
        <v>100</v>
      </c>
    </row>
    <row r="716" spans="1:10" ht="25.5">
      <c r="A716" s="8" t="s">
        <v>774</v>
      </c>
      <c r="B716" s="1" t="s">
        <v>889</v>
      </c>
      <c r="C716" s="1" t="s">
        <v>0</v>
      </c>
      <c r="D716" s="9">
        <f>D717</f>
        <v>98.7</v>
      </c>
      <c r="E716" s="9">
        <f>E717</f>
        <v>98.7</v>
      </c>
      <c r="F716" s="9">
        <f t="shared" ref="F716:G717" si="407">F717</f>
        <v>98.7</v>
      </c>
      <c r="G716" s="9">
        <f t="shared" si="407"/>
        <v>98.7</v>
      </c>
      <c r="H716" s="9">
        <f>H717</f>
        <v>98.657089999999997</v>
      </c>
      <c r="I716" s="9">
        <f t="shared" si="366"/>
        <v>99.95652482269503</v>
      </c>
      <c r="J716" s="9">
        <f t="shared" si="368"/>
        <v>99.95652482269503</v>
      </c>
    </row>
    <row r="717" spans="1:10" ht="25.5">
      <c r="A717" s="8" t="s">
        <v>64</v>
      </c>
      <c r="B717" s="1" t="s">
        <v>889</v>
      </c>
      <c r="C717" s="1" t="s">
        <v>65</v>
      </c>
      <c r="D717" s="9">
        <f>D718</f>
        <v>98.7</v>
      </c>
      <c r="E717" s="9">
        <f>E718</f>
        <v>98.7</v>
      </c>
      <c r="F717" s="9">
        <f t="shared" si="407"/>
        <v>98.7</v>
      </c>
      <c r="G717" s="9">
        <f t="shared" si="407"/>
        <v>98.7</v>
      </c>
      <c r="H717" s="9">
        <f>H718</f>
        <v>98.657089999999997</v>
      </c>
      <c r="I717" s="9">
        <f t="shared" si="366"/>
        <v>99.95652482269503</v>
      </c>
      <c r="J717" s="9">
        <f t="shared" si="368"/>
        <v>99.95652482269503</v>
      </c>
    </row>
    <row r="718" spans="1:10" ht="25.5">
      <c r="A718" s="8" t="s">
        <v>66</v>
      </c>
      <c r="B718" s="1" t="s">
        <v>889</v>
      </c>
      <c r="C718" s="1" t="s">
        <v>67</v>
      </c>
      <c r="D718" s="9">
        <f>ведомство!G2217</f>
        <v>98.7</v>
      </c>
      <c r="E718" s="9">
        <f>ведомство!H2217</f>
        <v>98.7</v>
      </c>
      <c r="F718" s="9">
        <f>ведомство!I2217</f>
        <v>98.7</v>
      </c>
      <c r="G718" s="9">
        <f>ведомство!J2217</f>
        <v>98.7</v>
      </c>
      <c r="H718" s="9">
        <f>ведомство!K2217</f>
        <v>98.657089999999997</v>
      </c>
      <c r="I718" s="9">
        <f t="shared" si="366"/>
        <v>99.95652482269503</v>
      </c>
      <c r="J718" s="9">
        <f t="shared" si="368"/>
        <v>99.95652482269503</v>
      </c>
    </row>
    <row r="719" spans="1:10">
      <c r="A719" s="4" t="s">
        <v>0</v>
      </c>
      <c r="B719" s="17" t="s">
        <v>0</v>
      </c>
      <c r="C719" s="5" t="s">
        <v>0</v>
      </c>
      <c r="D719" s="7" t="s">
        <v>0</v>
      </c>
      <c r="E719" s="7" t="s">
        <v>0</v>
      </c>
      <c r="F719" s="7" t="s">
        <v>0</v>
      </c>
      <c r="G719" s="7" t="s">
        <v>0</v>
      </c>
      <c r="H719" s="7" t="s">
        <v>0</v>
      </c>
      <c r="I719" s="7"/>
      <c r="J719" s="7"/>
    </row>
    <row r="720" spans="1:10" ht="25.5">
      <c r="A720" s="4" t="s">
        <v>47</v>
      </c>
      <c r="B720" s="5" t="s">
        <v>48</v>
      </c>
      <c r="C720" s="5" t="s">
        <v>0</v>
      </c>
      <c r="D720" s="23">
        <f>D721+D726+D729+D732+D735+D741+D748+D757+D766+D769+D777+D780+D783+D786+D763</f>
        <v>873042.5</v>
      </c>
      <c r="E720" s="23">
        <f>E721+E726+E729+E732+E735+E741+E748+E757+E766+E769+E777+E780+E783+E786+E763+E738</f>
        <v>982893.55074000009</v>
      </c>
      <c r="F720" s="23">
        <f t="shared" ref="F720:G720" si="408">F721+F726+F729+F732+F735+F741+F748+F757+F766+F769+F777+F780+F783+F786+F763+F738</f>
        <v>717649.48294000002</v>
      </c>
      <c r="G720" s="23">
        <f t="shared" si="408"/>
        <v>717645.48294000002</v>
      </c>
      <c r="H720" s="23">
        <f>H721+H726+H729+H732+H735+H741+H748+H757+H766+H769+H777+H780+H783+H786+H763+H738</f>
        <v>716640.01566000003</v>
      </c>
      <c r="I720" s="7">
        <f t="shared" si="366"/>
        <v>72.911254237089736</v>
      </c>
      <c r="J720" s="7">
        <f t="shared" si="368"/>
        <v>99.859337001698307</v>
      </c>
    </row>
    <row r="721" spans="1:10" ht="25.5">
      <c r="A721" s="8" t="s">
        <v>354</v>
      </c>
      <c r="B721" s="1" t="s">
        <v>355</v>
      </c>
      <c r="C721" s="1" t="s">
        <v>0</v>
      </c>
      <c r="D721" s="9">
        <f>D722+D724</f>
        <v>780.4</v>
      </c>
      <c r="E721" s="9">
        <f>E722+E724</f>
        <v>70733.792130000002</v>
      </c>
      <c r="F721" s="9">
        <f t="shared" ref="F721:G721" si="409">F722+F724</f>
        <v>20835.492129999999</v>
      </c>
      <c r="G721" s="9">
        <f t="shared" si="409"/>
        <v>20835.492129999999</v>
      </c>
      <c r="H721" s="9">
        <f>H722+H724</f>
        <v>20835.492129999999</v>
      </c>
      <c r="I721" s="9">
        <f t="shared" si="366"/>
        <v>29.456206860374358</v>
      </c>
      <c r="J721" s="9">
        <f t="shared" si="368"/>
        <v>100</v>
      </c>
    </row>
    <row r="722" spans="1:10" ht="25.5">
      <c r="A722" s="8" t="s">
        <v>39</v>
      </c>
      <c r="B722" s="1" t="s">
        <v>355</v>
      </c>
      <c r="C722" s="1">
        <v>400</v>
      </c>
      <c r="D722" s="9">
        <f>D723</f>
        <v>0</v>
      </c>
      <c r="E722" s="9">
        <f>E723</f>
        <v>20055.099999999999</v>
      </c>
      <c r="F722" s="9">
        <f t="shared" ref="F722:G722" si="410">F723</f>
        <v>20055.099999999999</v>
      </c>
      <c r="G722" s="9">
        <f t="shared" si="410"/>
        <v>20055.099999999999</v>
      </c>
      <c r="H722" s="9">
        <f>H723</f>
        <v>20055.099999999999</v>
      </c>
      <c r="I722" s="9">
        <f t="shared" si="366"/>
        <v>100</v>
      </c>
      <c r="J722" s="9">
        <f t="shared" si="368"/>
        <v>100</v>
      </c>
    </row>
    <row r="723" spans="1:10">
      <c r="A723" s="8" t="s">
        <v>41</v>
      </c>
      <c r="B723" s="1" t="s">
        <v>355</v>
      </c>
      <c r="C723" s="1">
        <v>410</v>
      </c>
      <c r="D723" s="9">
        <f>ведомство!G169</f>
        <v>0</v>
      </c>
      <c r="E723" s="9">
        <f>ведомство!H169</f>
        <v>20055.099999999999</v>
      </c>
      <c r="F723" s="9">
        <f>ведомство!I169</f>
        <v>20055.099999999999</v>
      </c>
      <c r="G723" s="9">
        <f>ведомство!J169</f>
        <v>20055.099999999999</v>
      </c>
      <c r="H723" s="9">
        <f>ведомство!K169</f>
        <v>20055.099999999999</v>
      </c>
      <c r="I723" s="9">
        <f t="shared" si="366"/>
        <v>100</v>
      </c>
      <c r="J723" s="9">
        <f t="shared" si="368"/>
        <v>100</v>
      </c>
    </row>
    <row r="724" spans="1:10">
      <c r="A724" s="8" t="s">
        <v>26</v>
      </c>
      <c r="B724" s="1" t="s">
        <v>355</v>
      </c>
      <c r="C724" s="1" t="s">
        <v>27</v>
      </c>
      <c r="D724" s="9">
        <f>D725</f>
        <v>780.4</v>
      </c>
      <c r="E724" s="9">
        <f>E725</f>
        <v>50678.692130000003</v>
      </c>
      <c r="F724" s="9">
        <f t="shared" ref="F724:G724" si="411">F725</f>
        <v>780.39212999999995</v>
      </c>
      <c r="G724" s="9">
        <f t="shared" si="411"/>
        <v>780.39212999999995</v>
      </c>
      <c r="H724" s="9">
        <f>H725</f>
        <v>780.39212999999995</v>
      </c>
      <c r="I724" s="9">
        <f t="shared" si="366"/>
        <v>1.5398821421795044</v>
      </c>
      <c r="J724" s="9">
        <f t="shared" si="368"/>
        <v>100</v>
      </c>
    </row>
    <row r="725" spans="1:10">
      <c r="A725" s="8" t="s">
        <v>56</v>
      </c>
      <c r="B725" s="1" t="s">
        <v>355</v>
      </c>
      <c r="C725" s="1" t="s">
        <v>57</v>
      </c>
      <c r="D725" s="9">
        <f>ведомство!G171+ведомство!G780</f>
        <v>780.4</v>
      </c>
      <c r="E725" s="9">
        <f>ведомство!H171+ведомство!H780</f>
        <v>50678.692130000003</v>
      </c>
      <c r="F725" s="9">
        <f>ведомство!I171+ведомство!I780</f>
        <v>780.39212999999995</v>
      </c>
      <c r="G725" s="9">
        <f>ведомство!J171+ведомство!J780</f>
        <v>780.39212999999995</v>
      </c>
      <c r="H725" s="9">
        <f>ведомство!K171+ведомство!K780</f>
        <v>780.39212999999995</v>
      </c>
      <c r="I725" s="9">
        <f t="shared" si="366"/>
        <v>1.5398821421795044</v>
      </c>
      <c r="J725" s="9">
        <f t="shared" si="368"/>
        <v>100</v>
      </c>
    </row>
    <row r="726" spans="1:10" ht="38.25">
      <c r="A726" s="8" t="s">
        <v>359</v>
      </c>
      <c r="B726" s="1" t="s">
        <v>360</v>
      </c>
      <c r="C726" s="1" t="s">
        <v>0</v>
      </c>
      <c r="D726" s="9">
        <f>D727</f>
        <v>342</v>
      </c>
      <c r="E726" s="9">
        <f>E727</f>
        <v>342</v>
      </c>
      <c r="F726" s="9">
        <f t="shared" ref="F726:G727" si="412">F727</f>
        <v>135</v>
      </c>
      <c r="G726" s="9">
        <f t="shared" si="412"/>
        <v>135</v>
      </c>
      <c r="H726" s="9">
        <f>H727</f>
        <v>109.9</v>
      </c>
      <c r="I726" s="9">
        <f t="shared" si="366"/>
        <v>32.134502923976612</v>
      </c>
      <c r="J726" s="9">
        <f t="shared" si="368"/>
        <v>81.407407407407405</v>
      </c>
    </row>
    <row r="727" spans="1:10">
      <c r="A727" s="8" t="s">
        <v>26</v>
      </c>
      <c r="B727" s="1" t="s">
        <v>360</v>
      </c>
      <c r="C727" s="1" t="s">
        <v>27</v>
      </c>
      <c r="D727" s="9">
        <f>D728</f>
        <v>342</v>
      </c>
      <c r="E727" s="9">
        <f>E728</f>
        <v>342</v>
      </c>
      <c r="F727" s="9">
        <f t="shared" si="412"/>
        <v>135</v>
      </c>
      <c r="G727" s="9">
        <f t="shared" si="412"/>
        <v>135</v>
      </c>
      <c r="H727" s="9">
        <f>H728</f>
        <v>109.9</v>
      </c>
      <c r="I727" s="9">
        <f t="shared" si="366"/>
        <v>32.134502923976612</v>
      </c>
      <c r="J727" s="9">
        <f t="shared" si="368"/>
        <v>81.407407407407405</v>
      </c>
    </row>
    <row r="728" spans="1:10">
      <c r="A728" s="8" t="s">
        <v>352</v>
      </c>
      <c r="B728" s="1" t="s">
        <v>360</v>
      </c>
      <c r="C728" s="1" t="s">
        <v>353</v>
      </c>
      <c r="D728" s="9">
        <f>ведомство!G824</f>
        <v>342</v>
      </c>
      <c r="E728" s="9">
        <f>ведомство!H824</f>
        <v>342</v>
      </c>
      <c r="F728" s="9">
        <f>ведомство!I824</f>
        <v>135</v>
      </c>
      <c r="G728" s="9">
        <f>ведомство!J824</f>
        <v>135</v>
      </c>
      <c r="H728" s="9">
        <f>ведомство!K824</f>
        <v>109.9</v>
      </c>
      <c r="I728" s="9">
        <f t="shared" si="366"/>
        <v>32.134502923976612</v>
      </c>
      <c r="J728" s="9">
        <f t="shared" si="368"/>
        <v>81.407407407407405</v>
      </c>
    </row>
    <row r="729" spans="1:10" ht="38.25">
      <c r="A729" s="8" t="s">
        <v>361</v>
      </c>
      <c r="B729" s="1" t="s">
        <v>362</v>
      </c>
      <c r="C729" s="1" t="s">
        <v>0</v>
      </c>
      <c r="D729" s="9">
        <f>D730</f>
        <v>574</v>
      </c>
      <c r="E729" s="9">
        <f>E730</f>
        <v>574</v>
      </c>
      <c r="F729" s="9">
        <f t="shared" ref="F729:G730" si="413">F730</f>
        <v>574</v>
      </c>
      <c r="G729" s="9">
        <f t="shared" si="413"/>
        <v>574</v>
      </c>
      <c r="H729" s="9">
        <f>H730</f>
        <v>574</v>
      </c>
      <c r="I729" s="9">
        <f t="shared" si="366"/>
        <v>100</v>
      </c>
      <c r="J729" s="9">
        <f t="shared" si="368"/>
        <v>100</v>
      </c>
    </row>
    <row r="730" spans="1:10">
      <c r="A730" s="8" t="s">
        <v>26</v>
      </c>
      <c r="B730" s="1" t="s">
        <v>362</v>
      </c>
      <c r="C730" s="1" t="s">
        <v>27</v>
      </c>
      <c r="D730" s="9">
        <f>D731</f>
        <v>574</v>
      </c>
      <c r="E730" s="9">
        <f>E731</f>
        <v>574</v>
      </c>
      <c r="F730" s="9">
        <f t="shared" si="413"/>
        <v>574</v>
      </c>
      <c r="G730" s="9">
        <f t="shared" si="413"/>
        <v>574</v>
      </c>
      <c r="H730" s="9">
        <f>H731</f>
        <v>574</v>
      </c>
      <c r="I730" s="9">
        <f t="shared" si="366"/>
        <v>100</v>
      </c>
      <c r="J730" s="9">
        <f t="shared" si="368"/>
        <v>100</v>
      </c>
    </row>
    <row r="731" spans="1:10">
      <c r="A731" s="8" t="s">
        <v>352</v>
      </c>
      <c r="B731" s="1" t="s">
        <v>362</v>
      </c>
      <c r="C731" s="1" t="s">
        <v>353</v>
      </c>
      <c r="D731" s="9">
        <f>ведомство!G827</f>
        <v>574</v>
      </c>
      <c r="E731" s="9">
        <f>ведомство!H827</f>
        <v>574</v>
      </c>
      <c r="F731" s="9">
        <f>ведомство!I827</f>
        <v>574</v>
      </c>
      <c r="G731" s="9">
        <f>ведомство!J827</f>
        <v>574</v>
      </c>
      <c r="H731" s="9">
        <f>ведомство!K827</f>
        <v>574</v>
      </c>
      <c r="I731" s="9">
        <f t="shared" si="366"/>
        <v>100</v>
      </c>
      <c r="J731" s="9">
        <f t="shared" si="368"/>
        <v>100</v>
      </c>
    </row>
    <row r="732" spans="1:10" ht="25.5">
      <c r="A732" s="8" t="s">
        <v>363</v>
      </c>
      <c r="B732" s="1" t="s">
        <v>364</v>
      </c>
      <c r="C732" s="1" t="s">
        <v>0</v>
      </c>
      <c r="D732" s="9">
        <f>D733</f>
        <v>600</v>
      </c>
      <c r="E732" s="9">
        <f>E733</f>
        <v>600</v>
      </c>
      <c r="F732" s="9">
        <f t="shared" ref="F732:G733" si="414">F733</f>
        <v>600</v>
      </c>
      <c r="G732" s="9">
        <f t="shared" si="414"/>
        <v>600</v>
      </c>
      <c r="H732" s="9">
        <f>H733</f>
        <v>600</v>
      </c>
      <c r="I732" s="9">
        <f t="shared" si="366"/>
        <v>100</v>
      </c>
      <c r="J732" s="9">
        <f t="shared" si="368"/>
        <v>100</v>
      </c>
    </row>
    <row r="733" spans="1:10">
      <c r="A733" s="8" t="s">
        <v>26</v>
      </c>
      <c r="B733" s="1" t="s">
        <v>364</v>
      </c>
      <c r="C733" s="1" t="s">
        <v>27</v>
      </c>
      <c r="D733" s="9">
        <f>D734</f>
        <v>600</v>
      </c>
      <c r="E733" s="9">
        <f>E734</f>
        <v>600</v>
      </c>
      <c r="F733" s="9">
        <f t="shared" si="414"/>
        <v>600</v>
      </c>
      <c r="G733" s="9">
        <f t="shared" si="414"/>
        <v>600</v>
      </c>
      <c r="H733" s="9">
        <f>H734</f>
        <v>600</v>
      </c>
      <c r="I733" s="9">
        <f t="shared" si="366"/>
        <v>100</v>
      </c>
      <c r="J733" s="9">
        <f t="shared" si="368"/>
        <v>100</v>
      </c>
    </row>
    <row r="734" spans="1:10">
      <c r="A734" s="8" t="s">
        <v>352</v>
      </c>
      <c r="B734" s="1" t="s">
        <v>364</v>
      </c>
      <c r="C734" s="1" t="s">
        <v>353</v>
      </c>
      <c r="D734" s="9">
        <f>ведомство!G830</f>
        <v>600</v>
      </c>
      <c r="E734" s="9">
        <f>ведомство!H830</f>
        <v>600</v>
      </c>
      <c r="F734" s="9">
        <f>ведомство!I830</f>
        <v>600</v>
      </c>
      <c r="G734" s="9">
        <f>ведомство!J830</f>
        <v>600</v>
      </c>
      <c r="H734" s="9">
        <f>ведомство!K830</f>
        <v>600</v>
      </c>
      <c r="I734" s="9">
        <f t="shared" si="366"/>
        <v>100</v>
      </c>
      <c r="J734" s="9">
        <f t="shared" si="368"/>
        <v>100</v>
      </c>
    </row>
    <row r="735" spans="1:10" ht="38.25">
      <c r="A735" s="8" t="s">
        <v>365</v>
      </c>
      <c r="B735" s="1" t="s">
        <v>366</v>
      </c>
      <c r="C735" s="1" t="s">
        <v>0</v>
      </c>
      <c r="D735" s="9">
        <f>D736</f>
        <v>450</v>
      </c>
      <c r="E735" s="9">
        <f>E736</f>
        <v>450</v>
      </c>
      <c r="F735" s="9">
        <f t="shared" ref="F735:G736" si="415">F736</f>
        <v>450</v>
      </c>
      <c r="G735" s="9">
        <f t="shared" si="415"/>
        <v>450</v>
      </c>
      <c r="H735" s="9">
        <f>H736</f>
        <v>450</v>
      </c>
      <c r="I735" s="9">
        <f t="shared" si="366"/>
        <v>100</v>
      </c>
      <c r="J735" s="9">
        <f t="shared" si="368"/>
        <v>100</v>
      </c>
    </row>
    <row r="736" spans="1:10">
      <c r="A736" s="8" t="s">
        <v>26</v>
      </c>
      <c r="B736" s="1" t="s">
        <v>366</v>
      </c>
      <c r="C736" s="1" t="s">
        <v>27</v>
      </c>
      <c r="D736" s="9">
        <f>D737</f>
        <v>450</v>
      </c>
      <c r="E736" s="9">
        <f>E737</f>
        <v>450</v>
      </c>
      <c r="F736" s="9">
        <f t="shared" si="415"/>
        <v>450</v>
      </c>
      <c r="G736" s="9">
        <f t="shared" si="415"/>
        <v>450</v>
      </c>
      <c r="H736" s="9">
        <f>H737</f>
        <v>450</v>
      </c>
      <c r="I736" s="9">
        <f t="shared" si="366"/>
        <v>100</v>
      </c>
      <c r="J736" s="9">
        <f t="shared" si="368"/>
        <v>100</v>
      </c>
    </row>
    <row r="737" spans="1:10">
      <c r="A737" s="8" t="s">
        <v>352</v>
      </c>
      <c r="B737" s="1" t="s">
        <v>366</v>
      </c>
      <c r="C737" s="1" t="s">
        <v>353</v>
      </c>
      <c r="D737" s="9">
        <f>ведомство!G833</f>
        <v>450</v>
      </c>
      <c r="E737" s="9">
        <f>ведомство!H833</f>
        <v>450</v>
      </c>
      <c r="F737" s="9">
        <f>ведомство!I833</f>
        <v>450</v>
      </c>
      <c r="G737" s="9">
        <f>ведомство!J833</f>
        <v>450</v>
      </c>
      <c r="H737" s="9">
        <f>ведомство!K833</f>
        <v>450</v>
      </c>
      <c r="I737" s="9">
        <f t="shared" si="366"/>
        <v>100</v>
      </c>
      <c r="J737" s="9">
        <f t="shared" si="368"/>
        <v>100</v>
      </c>
    </row>
    <row r="738" spans="1:10" s="91" customFormat="1" ht="51">
      <c r="A738" s="59" t="s">
        <v>1262</v>
      </c>
      <c r="B738" s="29" t="s">
        <v>1261</v>
      </c>
      <c r="C738" s="28"/>
      <c r="D738" s="9"/>
      <c r="E738" s="9">
        <f>E739</f>
        <v>528.42499999999995</v>
      </c>
      <c r="F738" s="9">
        <f t="shared" ref="F738:G739" si="416">F739</f>
        <v>528.42499999999995</v>
      </c>
      <c r="G738" s="9">
        <f t="shared" si="416"/>
        <v>528.42499999999995</v>
      </c>
      <c r="H738" s="9">
        <f>H739</f>
        <v>528.42499999999995</v>
      </c>
      <c r="I738" s="9">
        <f t="shared" ref="I738:I740" si="417">H738/E738*100</f>
        <v>100</v>
      </c>
      <c r="J738" s="9">
        <f t="shared" ref="J738:J740" si="418">H738/F738*100</f>
        <v>100</v>
      </c>
    </row>
    <row r="739" spans="1:10" s="91" customFormat="1" ht="25.5">
      <c r="A739" s="59" t="s">
        <v>80</v>
      </c>
      <c r="B739" s="29" t="s">
        <v>1261</v>
      </c>
      <c r="C739" s="28">
        <v>600</v>
      </c>
      <c r="D739" s="9"/>
      <c r="E739" s="9">
        <f>E740</f>
        <v>528.42499999999995</v>
      </c>
      <c r="F739" s="9">
        <f t="shared" si="416"/>
        <v>528.42499999999995</v>
      </c>
      <c r="G739" s="9">
        <f t="shared" si="416"/>
        <v>528.42499999999995</v>
      </c>
      <c r="H739" s="9">
        <f>H740</f>
        <v>528.42499999999995</v>
      </c>
      <c r="I739" s="9">
        <f t="shared" si="417"/>
        <v>100</v>
      </c>
      <c r="J739" s="9">
        <f t="shared" si="418"/>
        <v>100</v>
      </c>
    </row>
    <row r="740" spans="1:10" s="91" customFormat="1">
      <c r="A740" s="59" t="s">
        <v>271</v>
      </c>
      <c r="B740" s="29" t="s">
        <v>1261</v>
      </c>
      <c r="C740" s="28">
        <v>610</v>
      </c>
      <c r="D740" s="9"/>
      <c r="E740" s="9">
        <f>ведомство!H836</f>
        <v>528.42499999999995</v>
      </c>
      <c r="F740" s="9">
        <f>ведомство!I836</f>
        <v>528.42499999999995</v>
      </c>
      <c r="G740" s="9">
        <f>ведомство!J836</f>
        <v>528.42499999999995</v>
      </c>
      <c r="H740" s="9">
        <f>ведомство!K836</f>
        <v>528.42499999999995</v>
      </c>
      <c r="I740" s="9">
        <f t="shared" si="417"/>
        <v>100</v>
      </c>
      <c r="J740" s="9">
        <f t="shared" si="418"/>
        <v>100</v>
      </c>
    </row>
    <row r="741" spans="1:10" ht="76.5">
      <c r="A741" s="8" t="s">
        <v>381</v>
      </c>
      <c r="B741" s="1" t="s">
        <v>382</v>
      </c>
      <c r="C741" s="1" t="s">
        <v>0</v>
      </c>
      <c r="D741" s="9">
        <f>D742+D744+D746</f>
        <v>10240.5</v>
      </c>
      <c r="E741" s="9">
        <f>E742+E744+E746</f>
        <v>10240.5</v>
      </c>
      <c r="F741" s="9">
        <f t="shared" ref="F741:G741" si="419">F742+F744+F746</f>
        <v>6578.3313200000002</v>
      </c>
      <c r="G741" s="9">
        <f t="shared" si="419"/>
        <v>6578.3313200000002</v>
      </c>
      <c r="H741" s="9">
        <f>H742+H744+H746</f>
        <v>6578.3313200000002</v>
      </c>
      <c r="I741" s="9">
        <f t="shared" si="366"/>
        <v>64.238380157218884</v>
      </c>
      <c r="J741" s="9">
        <f t="shared" si="368"/>
        <v>100</v>
      </c>
    </row>
    <row r="742" spans="1:10" ht="51">
      <c r="A742" s="8" t="s">
        <v>60</v>
      </c>
      <c r="B742" s="1" t="s">
        <v>382</v>
      </c>
      <c r="C742" s="1" t="s">
        <v>61</v>
      </c>
      <c r="D742" s="9">
        <f>D743</f>
        <v>8958.4</v>
      </c>
      <c r="E742" s="9">
        <f>E743</f>
        <v>8958.4</v>
      </c>
      <c r="F742" s="9">
        <f t="shared" ref="F742:G742" si="420">F743</f>
        <v>5857.0288200000005</v>
      </c>
      <c r="G742" s="9">
        <f t="shared" si="420"/>
        <v>5857.0288200000005</v>
      </c>
      <c r="H742" s="9">
        <f>H743</f>
        <v>5857.0288200000005</v>
      </c>
      <c r="I742" s="9">
        <f t="shared" si="366"/>
        <v>65.380300276835158</v>
      </c>
      <c r="J742" s="9">
        <f t="shared" si="368"/>
        <v>100</v>
      </c>
    </row>
    <row r="743" spans="1:10" ht="25.5">
      <c r="A743" s="8" t="s">
        <v>62</v>
      </c>
      <c r="B743" s="1" t="s">
        <v>382</v>
      </c>
      <c r="C743" s="1" t="s">
        <v>63</v>
      </c>
      <c r="D743" s="9">
        <f>ведомство!G869</f>
        <v>8958.4</v>
      </c>
      <c r="E743" s="9">
        <f>ведомство!H869</f>
        <v>8958.4</v>
      </c>
      <c r="F743" s="9">
        <f>ведомство!I869</f>
        <v>5857.0288200000005</v>
      </c>
      <c r="G743" s="9">
        <f>ведомство!J869</f>
        <v>5857.0288200000005</v>
      </c>
      <c r="H743" s="9">
        <f>ведомство!K869</f>
        <v>5857.0288200000005</v>
      </c>
      <c r="I743" s="9">
        <f t="shared" si="366"/>
        <v>65.380300276835158</v>
      </c>
      <c r="J743" s="9">
        <f t="shared" si="368"/>
        <v>100</v>
      </c>
    </row>
    <row r="744" spans="1:10" ht="25.5">
      <c r="A744" s="8" t="s">
        <v>64</v>
      </c>
      <c r="B744" s="1" t="s">
        <v>382</v>
      </c>
      <c r="C744" s="1" t="s">
        <v>65</v>
      </c>
      <c r="D744" s="9">
        <f>D745</f>
        <v>1280.9000000000001</v>
      </c>
      <c r="E744" s="9">
        <f>E745</f>
        <v>1280.9000000000001</v>
      </c>
      <c r="F744" s="9">
        <f t="shared" ref="F744:G744" si="421">F745</f>
        <v>720.69050000000004</v>
      </c>
      <c r="G744" s="9">
        <f t="shared" si="421"/>
        <v>720.69050000000004</v>
      </c>
      <c r="H744" s="9">
        <f>H745</f>
        <v>720.69050000000004</v>
      </c>
      <c r="I744" s="9">
        <f t="shared" si="366"/>
        <v>56.264384417206649</v>
      </c>
      <c r="J744" s="9">
        <f t="shared" si="368"/>
        <v>100</v>
      </c>
    </row>
    <row r="745" spans="1:10" ht="25.5">
      <c r="A745" s="8" t="s">
        <v>66</v>
      </c>
      <c r="B745" s="1" t="s">
        <v>382</v>
      </c>
      <c r="C745" s="1" t="s">
        <v>67</v>
      </c>
      <c r="D745" s="9">
        <f>ведомство!G871</f>
        <v>1280.9000000000001</v>
      </c>
      <c r="E745" s="9">
        <f>ведомство!H871</f>
        <v>1280.9000000000001</v>
      </c>
      <c r="F745" s="9">
        <f>ведомство!I871</f>
        <v>720.69050000000004</v>
      </c>
      <c r="G745" s="9">
        <f>ведомство!J871</f>
        <v>720.69050000000004</v>
      </c>
      <c r="H745" s="9">
        <f>ведомство!K871</f>
        <v>720.69050000000004</v>
      </c>
      <c r="I745" s="9">
        <f t="shared" si="366"/>
        <v>56.264384417206649</v>
      </c>
      <c r="J745" s="9">
        <f t="shared" si="368"/>
        <v>100</v>
      </c>
    </row>
    <row r="746" spans="1:10">
      <c r="A746" s="8" t="s">
        <v>72</v>
      </c>
      <c r="B746" s="1" t="s">
        <v>382</v>
      </c>
      <c r="C746" s="1" t="s">
        <v>73</v>
      </c>
      <c r="D746" s="9">
        <f>D747</f>
        <v>1.2</v>
      </c>
      <c r="E746" s="9">
        <f>E747</f>
        <v>1.2</v>
      </c>
      <c r="F746" s="9">
        <f t="shared" ref="F746:G746" si="422">F747</f>
        <v>0.61199999999999999</v>
      </c>
      <c r="G746" s="9">
        <f t="shared" si="422"/>
        <v>0.61199999999999999</v>
      </c>
      <c r="H746" s="9">
        <f>H747</f>
        <v>0.61199999999999999</v>
      </c>
      <c r="I746" s="9">
        <f t="shared" ref="I746:I817" si="423">H746/E746*100</f>
        <v>51</v>
      </c>
      <c r="J746" s="9">
        <f t="shared" ref="J746:J817" si="424">H746/F746*100</f>
        <v>100</v>
      </c>
    </row>
    <row r="747" spans="1:10">
      <c r="A747" s="8" t="s">
        <v>74</v>
      </c>
      <c r="B747" s="1" t="s">
        <v>382</v>
      </c>
      <c r="C747" s="1" t="s">
        <v>75</v>
      </c>
      <c r="D747" s="9">
        <f>ведомство!G873</f>
        <v>1.2</v>
      </c>
      <c r="E747" s="9">
        <f>ведомство!H873</f>
        <v>1.2</v>
      </c>
      <c r="F747" s="9">
        <f>ведомство!I873</f>
        <v>0.61199999999999999</v>
      </c>
      <c r="G747" s="9">
        <f>ведомство!J873</f>
        <v>0.61199999999999999</v>
      </c>
      <c r="H747" s="9">
        <f>ведомство!K873</f>
        <v>0.61199999999999999</v>
      </c>
      <c r="I747" s="9">
        <f t="shared" si="423"/>
        <v>51</v>
      </c>
      <c r="J747" s="9">
        <f t="shared" si="424"/>
        <v>100</v>
      </c>
    </row>
    <row r="748" spans="1:10" ht="25.5">
      <c r="A748" s="8" t="s">
        <v>58</v>
      </c>
      <c r="B748" s="1" t="s">
        <v>383</v>
      </c>
      <c r="C748" s="1" t="s">
        <v>0</v>
      </c>
      <c r="D748" s="9">
        <f>D749+D751+D755+D753</f>
        <v>27870.3</v>
      </c>
      <c r="E748" s="9">
        <f>E749+E751+E755+E753</f>
        <v>36116.9</v>
      </c>
      <c r="F748" s="9">
        <f t="shared" ref="F748:G748" si="425">F749+F751+F755+F753</f>
        <v>25533.100000000002</v>
      </c>
      <c r="G748" s="9">
        <f t="shared" si="425"/>
        <v>25529.100000000002</v>
      </c>
      <c r="H748" s="9">
        <f>H749+H751+H755+H753</f>
        <v>24573.73272</v>
      </c>
      <c r="I748" s="9">
        <f t="shared" si="423"/>
        <v>68.039429519144775</v>
      </c>
      <c r="J748" s="9">
        <f t="shared" si="424"/>
        <v>96.242652556877147</v>
      </c>
    </row>
    <row r="749" spans="1:10" ht="51">
      <c r="A749" s="8" t="s">
        <v>60</v>
      </c>
      <c r="B749" s="1" t="s">
        <v>383</v>
      </c>
      <c r="C749" s="1" t="s">
        <v>61</v>
      </c>
      <c r="D749" s="9">
        <f>D750</f>
        <v>26854.400000000001</v>
      </c>
      <c r="E749" s="9">
        <f>E750</f>
        <v>34573.854149999999</v>
      </c>
      <c r="F749" s="9">
        <f t="shared" ref="F749:G749" si="426">F750</f>
        <v>24471.854149999999</v>
      </c>
      <c r="G749" s="9">
        <f t="shared" si="426"/>
        <v>24471.854149999999</v>
      </c>
      <c r="H749" s="9">
        <f>H750</f>
        <v>23558.204109999999</v>
      </c>
      <c r="I749" s="9">
        <f t="shared" si="423"/>
        <v>68.1387848973731</v>
      </c>
      <c r="J749" s="9">
        <f t="shared" si="424"/>
        <v>96.26652711151435</v>
      </c>
    </row>
    <row r="750" spans="1:10" ht="25.5">
      <c r="A750" s="8" t="s">
        <v>62</v>
      </c>
      <c r="B750" s="1" t="s">
        <v>383</v>
      </c>
      <c r="C750" s="1" t="s">
        <v>63</v>
      </c>
      <c r="D750" s="9">
        <f>ведомство!G876</f>
        <v>26854.400000000001</v>
      </c>
      <c r="E750" s="9">
        <f>ведомство!H876</f>
        <v>34573.854149999999</v>
      </c>
      <c r="F750" s="9">
        <f>ведомство!I876</f>
        <v>24471.854149999999</v>
      </c>
      <c r="G750" s="9">
        <f>ведомство!J876</f>
        <v>24471.854149999999</v>
      </c>
      <c r="H750" s="9">
        <f>ведомство!K876</f>
        <v>23558.204109999999</v>
      </c>
      <c r="I750" s="9">
        <f t="shared" si="423"/>
        <v>68.1387848973731</v>
      </c>
      <c r="J750" s="9">
        <f t="shared" si="424"/>
        <v>96.26652711151435</v>
      </c>
    </row>
    <row r="751" spans="1:10" ht="25.5">
      <c r="A751" s="8" t="s">
        <v>64</v>
      </c>
      <c r="B751" s="1" t="s">
        <v>383</v>
      </c>
      <c r="C751" s="1" t="s">
        <v>65</v>
      </c>
      <c r="D751" s="9">
        <f>D752</f>
        <v>1015.1</v>
      </c>
      <c r="E751" s="9">
        <f>E752</f>
        <v>1289.4000000000001</v>
      </c>
      <c r="F751" s="9">
        <f t="shared" ref="F751:G751" si="427">F752</f>
        <v>808.4</v>
      </c>
      <c r="G751" s="9">
        <f t="shared" si="427"/>
        <v>804.4</v>
      </c>
      <c r="H751" s="9">
        <f>H752</f>
        <v>762.68276000000003</v>
      </c>
      <c r="I751" s="9">
        <f t="shared" si="423"/>
        <v>59.15020629750272</v>
      </c>
      <c r="J751" s="9">
        <f t="shared" si="424"/>
        <v>94.344725383473531</v>
      </c>
    </row>
    <row r="752" spans="1:10" ht="25.5">
      <c r="A752" s="8" t="s">
        <v>66</v>
      </c>
      <c r="B752" s="1" t="s">
        <v>383</v>
      </c>
      <c r="C752" s="1" t="s">
        <v>67</v>
      </c>
      <c r="D752" s="9">
        <f>ведомство!G877</f>
        <v>1015.1</v>
      </c>
      <c r="E752" s="9">
        <f>ведомство!H877</f>
        <v>1289.4000000000001</v>
      </c>
      <c r="F752" s="9">
        <f>ведомство!I877</f>
        <v>808.4</v>
      </c>
      <c r="G752" s="9">
        <f>ведомство!J877</f>
        <v>804.4</v>
      </c>
      <c r="H752" s="9">
        <f>ведомство!K877</f>
        <v>762.68276000000003</v>
      </c>
      <c r="I752" s="9">
        <f t="shared" si="423"/>
        <v>59.15020629750272</v>
      </c>
      <c r="J752" s="9">
        <f t="shared" si="424"/>
        <v>94.344725383473531</v>
      </c>
    </row>
    <row r="753" spans="1:10" s="42" customFormat="1">
      <c r="A753" s="8" t="s">
        <v>68</v>
      </c>
      <c r="B753" s="1" t="s">
        <v>383</v>
      </c>
      <c r="C753" s="1">
        <v>300</v>
      </c>
      <c r="D753" s="9">
        <f>D754</f>
        <v>0</v>
      </c>
      <c r="E753" s="9">
        <f>E754</f>
        <v>252.84585000000001</v>
      </c>
      <c r="F753" s="9">
        <f t="shared" ref="F753:G753" si="428">F754</f>
        <v>252.84585000000001</v>
      </c>
      <c r="G753" s="9">
        <f t="shared" si="428"/>
        <v>252.84585000000001</v>
      </c>
      <c r="H753" s="9">
        <f>H754</f>
        <v>252.84585000000001</v>
      </c>
      <c r="I753" s="9">
        <f t="shared" ref="I753:I754" si="429">H753/E753*100</f>
        <v>100</v>
      </c>
      <c r="J753" s="9">
        <f t="shared" ref="J753:J754" si="430">H753/F753*100</f>
        <v>100</v>
      </c>
    </row>
    <row r="754" spans="1:10" s="42" customFormat="1" ht="25.5">
      <c r="A754" s="8" t="s">
        <v>151</v>
      </c>
      <c r="B754" s="1" t="s">
        <v>383</v>
      </c>
      <c r="C754" s="1">
        <v>320</v>
      </c>
      <c r="D754" s="9">
        <f>ведомство!G880</f>
        <v>0</v>
      </c>
      <c r="E754" s="9">
        <f>ведомство!H880</f>
        <v>252.84585000000001</v>
      </c>
      <c r="F754" s="9">
        <f>ведомство!I880</f>
        <v>252.84585000000001</v>
      </c>
      <c r="G754" s="9">
        <f>ведомство!J880</f>
        <v>252.84585000000001</v>
      </c>
      <c r="H754" s="9">
        <f>ведомство!K880</f>
        <v>252.84585000000001</v>
      </c>
      <c r="I754" s="9">
        <f t="shared" si="429"/>
        <v>100</v>
      </c>
      <c r="J754" s="9">
        <f t="shared" si="430"/>
        <v>100</v>
      </c>
    </row>
    <row r="755" spans="1:10">
      <c r="A755" s="8" t="s">
        <v>72</v>
      </c>
      <c r="B755" s="1" t="s">
        <v>383</v>
      </c>
      <c r="C755" s="1" t="s">
        <v>73</v>
      </c>
      <c r="D755" s="9">
        <f>D756</f>
        <v>0.8</v>
      </c>
      <c r="E755" s="9">
        <f>E756</f>
        <v>0.8</v>
      </c>
      <c r="F755" s="9">
        <f t="shared" ref="F755:G755" si="431">F756</f>
        <v>0</v>
      </c>
      <c r="G755" s="9">
        <f t="shared" si="431"/>
        <v>0</v>
      </c>
      <c r="H755" s="9">
        <f>H756</f>
        <v>0</v>
      </c>
      <c r="I755" s="9">
        <f t="shared" si="423"/>
        <v>0</v>
      </c>
      <c r="J755" s="9">
        <v>0</v>
      </c>
    </row>
    <row r="756" spans="1:10">
      <c r="A756" s="8" t="s">
        <v>74</v>
      </c>
      <c r="B756" s="1" t="s">
        <v>383</v>
      </c>
      <c r="C756" s="1" t="s">
        <v>75</v>
      </c>
      <c r="D756" s="9">
        <f>ведомство!G882</f>
        <v>0.8</v>
      </c>
      <c r="E756" s="9">
        <f>ведомство!H882</f>
        <v>0.8</v>
      </c>
      <c r="F756" s="9">
        <f>ведомство!I882</f>
        <v>0</v>
      </c>
      <c r="G756" s="9">
        <f>ведомство!J882</f>
        <v>0</v>
      </c>
      <c r="H756" s="9">
        <f>ведомство!K882</f>
        <v>0</v>
      </c>
      <c r="I756" s="9">
        <f t="shared" si="423"/>
        <v>0</v>
      </c>
      <c r="J756" s="9">
        <v>0</v>
      </c>
    </row>
    <row r="757" spans="1:10" ht="25.5">
      <c r="A757" s="8" t="s">
        <v>76</v>
      </c>
      <c r="B757" s="1" t="s">
        <v>121</v>
      </c>
      <c r="C757" s="1" t="s">
        <v>0</v>
      </c>
      <c r="D757" s="9">
        <f>D758+D760</f>
        <v>719780.9</v>
      </c>
      <c r="E757" s="9">
        <f>E758+E760</f>
        <v>753794.78570000012</v>
      </c>
      <c r="F757" s="9">
        <f t="shared" ref="F757:G757" si="432">F758+F760</f>
        <v>566466.65376999998</v>
      </c>
      <c r="G757" s="9">
        <f t="shared" si="432"/>
        <v>566466.65376999998</v>
      </c>
      <c r="H757" s="9">
        <f>H758+H760</f>
        <v>566466.65376999998</v>
      </c>
      <c r="I757" s="9">
        <f t="shared" si="423"/>
        <v>75.148656440221899</v>
      </c>
      <c r="J757" s="9">
        <f t="shared" si="424"/>
        <v>100</v>
      </c>
    </row>
    <row r="758" spans="1:10" ht="25.5">
      <c r="A758" s="8" t="s">
        <v>64</v>
      </c>
      <c r="B758" s="1" t="s">
        <v>121</v>
      </c>
      <c r="C758" s="1" t="s">
        <v>65</v>
      </c>
      <c r="D758" s="9">
        <f>D759</f>
        <v>20990.400000000001</v>
      </c>
      <c r="E758" s="9">
        <f>E759</f>
        <v>20990.385699999999</v>
      </c>
      <c r="F758" s="9">
        <f t="shared" ref="F758:G758" si="433">F759</f>
        <v>16632.587769999998</v>
      </c>
      <c r="G758" s="9">
        <f t="shared" si="433"/>
        <v>16632.587769999998</v>
      </c>
      <c r="H758" s="9">
        <f>H759</f>
        <v>16632.587769999998</v>
      </c>
      <c r="I758" s="9">
        <f t="shared" si="423"/>
        <v>79.239076440601082</v>
      </c>
      <c r="J758" s="9">
        <f t="shared" si="424"/>
        <v>100</v>
      </c>
    </row>
    <row r="759" spans="1:10" ht="25.5">
      <c r="A759" s="8" t="s">
        <v>66</v>
      </c>
      <c r="B759" s="1" t="s">
        <v>121</v>
      </c>
      <c r="C759" s="1" t="s">
        <v>67</v>
      </c>
      <c r="D759" s="9">
        <f>ведомство!G143+ведомство!G174</f>
        <v>20990.400000000001</v>
      </c>
      <c r="E759" s="9">
        <f>ведомство!H143+ведомство!H174</f>
        <v>20990.385699999999</v>
      </c>
      <c r="F759" s="9">
        <f>ведомство!I143+ведомство!I174</f>
        <v>16632.587769999998</v>
      </c>
      <c r="G759" s="9">
        <f>ведомство!J143+ведомство!J174</f>
        <v>16632.587769999998</v>
      </c>
      <c r="H759" s="9">
        <f>ведомство!K143+ведомство!K174</f>
        <v>16632.587769999998</v>
      </c>
      <c r="I759" s="9">
        <f t="shared" si="423"/>
        <v>79.239076440601082</v>
      </c>
      <c r="J759" s="9">
        <f t="shared" si="424"/>
        <v>100</v>
      </c>
    </row>
    <row r="760" spans="1:10" ht="25.5">
      <c r="A760" s="8" t="s">
        <v>80</v>
      </c>
      <c r="B760" s="1" t="s">
        <v>121</v>
      </c>
      <c r="C760" s="1" t="s">
        <v>81</v>
      </c>
      <c r="D760" s="9">
        <f>D761+D762</f>
        <v>698790.5</v>
      </c>
      <c r="E760" s="9">
        <f>E761+E762</f>
        <v>732804.40000000014</v>
      </c>
      <c r="F760" s="9">
        <f t="shared" ref="F760:G760" si="434">F761+F762</f>
        <v>549834.06599999999</v>
      </c>
      <c r="G760" s="9">
        <f t="shared" si="434"/>
        <v>549834.06599999999</v>
      </c>
      <c r="H760" s="9">
        <f>H761+H762</f>
        <v>549834.06599999999</v>
      </c>
      <c r="I760" s="9">
        <f t="shared" si="423"/>
        <v>75.031490804367422</v>
      </c>
      <c r="J760" s="9">
        <f t="shared" si="424"/>
        <v>100</v>
      </c>
    </row>
    <row r="761" spans="1:10">
      <c r="A761" s="8" t="s">
        <v>271</v>
      </c>
      <c r="B761" s="1" t="s">
        <v>121</v>
      </c>
      <c r="C761" s="1" t="s">
        <v>272</v>
      </c>
      <c r="D761" s="9">
        <f>ведомство!G753+ведомство!G760+ведомство!G783+ведомство!G795+ведомство!G839</f>
        <v>674490.7</v>
      </c>
      <c r="E761" s="9">
        <f>ведомство!H753+ведомство!H760+ведомство!H783+ведомство!H795+ведомство!H839</f>
        <v>708504.60000000009</v>
      </c>
      <c r="F761" s="9">
        <f>ведомство!I753+ведомство!I760+ведомство!I783+ведомство!I795+ведомство!I839</f>
        <v>531863.46600000001</v>
      </c>
      <c r="G761" s="9">
        <f>ведомство!J753+ведомство!J760+ведомство!J783+ведомство!J795+ведомство!J839</f>
        <v>531863.46600000001</v>
      </c>
      <c r="H761" s="9">
        <f>ведомство!K753+ведомство!K760+ведомство!K783+ведомство!K795+ведомство!K839</f>
        <v>531863.46600000001</v>
      </c>
      <c r="I761" s="9">
        <f t="shared" si="423"/>
        <v>75.068456295132023</v>
      </c>
      <c r="J761" s="9">
        <f t="shared" si="424"/>
        <v>100</v>
      </c>
    </row>
    <row r="762" spans="1:10">
      <c r="A762" s="8" t="s">
        <v>82</v>
      </c>
      <c r="B762" s="1" t="s">
        <v>121</v>
      </c>
      <c r="C762" s="1" t="s">
        <v>83</v>
      </c>
      <c r="D762" s="9">
        <f>ведомство!G840</f>
        <v>24299.8</v>
      </c>
      <c r="E762" s="9">
        <f>ведомство!H840</f>
        <v>24299.8</v>
      </c>
      <c r="F762" s="9">
        <f>ведомство!I840</f>
        <v>17970.599999999999</v>
      </c>
      <c r="G762" s="9">
        <f>ведомство!J840</f>
        <v>17970.599999999999</v>
      </c>
      <c r="H762" s="9">
        <f>ведомство!K840</f>
        <v>17970.599999999999</v>
      </c>
      <c r="I762" s="9">
        <f t="shared" si="423"/>
        <v>73.953695092140663</v>
      </c>
      <c r="J762" s="9">
        <f t="shared" si="424"/>
        <v>100</v>
      </c>
    </row>
    <row r="763" spans="1:10" ht="63.75">
      <c r="A763" s="8" t="s">
        <v>367</v>
      </c>
      <c r="B763" s="1" t="s">
        <v>368</v>
      </c>
      <c r="C763" s="1" t="s">
        <v>0</v>
      </c>
      <c r="D763" s="9">
        <f>D764</f>
        <v>2891.3</v>
      </c>
      <c r="E763" s="9">
        <f>E764</f>
        <v>0</v>
      </c>
      <c r="F763" s="9">
        <f t="shared" ref="F763:G764" si="435">F764</f>
        <v>0</v>
      </c>
      <c r="G763" s="9">
        <f t="shared" si="435"/>
        <v>0</v>
      </c>
      <c r="H763" s="9">
        <f>H764</f>
        <v>0</v>
      </c>
      <c r="I763" s="9">
        <v>0</v>
      </c>
      <c r="J763" s="9">
        <v>0</v>
      </c>
    </row>
    <row r="764" spans="1:10">
      <c r="A764" s="8" t="s">
        <v>72</v>
      </c>
      <c r="B764" s="1" t="s">
        <v>368</v>
      </c>
      <c r="C764" s="1" t="s">
        <v>73</v>
      </c>
      <c r="D764" s="9">
        <f>D765</f>
        <v>2891.3</v>
      </c>
      <c r="E764" s="9">
        <f>E765</f>
        <v>0</v>
      </c>
      <c r="F764" s="9">
        <f t="shared" si="435"/>
        <v>0</v>
      </c>
      <c r="G764" s="9">
        <f t="shared" si="435"/>
        <v>0</v>
      </c>
      <c r="H764" s="9">
        <f>H765</f>
        <v>0</v>
      </c>
      <c r="I764" s="9">
        <v>0</v>
      </c>
      <c r="J764" s="9">
        <v>0</v>
      </c>
    </row>
    <row r="765" spans="1:10">
      <c r="A765" s="8" t="s">
        <v>369</v>
      </c>
      <c r="B765" s="1" t="s">
        <v>368</v>
      </c>
      <c r="C765" s="1" t="s">
        <v>370</v>
      </c>
      <c r="D765" s="9">
        <f>ведомство!G843</f>
        <v>2891.3</v>
      </c>
      <c r="E765" s="9">
        <f>ведомство!H843</f>
        <v>0</v>
      </c>
      <c r="F765" s="9">
        <f>ведомство!I843</f>
        <v>0</v>
      </c>
      <c r="G765" s="9">
        <f>ведомство!J843</f>
        <v>0</v>
      </c>
      <c r="H765" s="9">
        <f>ведомство!K843</f>
        <v>0</v>
      </c>
      <c r="I765" s="9">
        <v>0</v>
      </c>
      <c r="J765" s="9">
        <v>0</v>
      </c>
    </row>
    <row r="766" spans="1:10" ht="38.25">
      <c r="A766" s="8" t="s">
        <v>37</v>
      </c>
      <c r="B766" s="1" t="s">
        <v>49</v>
      </c>
      <c r="C766" s="1" t="s">
        <v>0</v>
      </c>
      <c r="D766" s="9">
        <f>D767</f>
        <v>6504.6</v>
      </c>
      <c r="E766" s="9">
        <f>E767</f>
        <v>6504.6479099999997</v>
      </c>
      <c r="F766" s="9">
        <f t="shared" ref="F766:G767" si="436">F767</f>
        <v>1721.7547400000001</v>
      </c>
      <c r="G766" s="9">
        <f t="shared" si="436"/>
        <v>1721.7547400000001</v>
      </c>
      <c r="H766" s="9">
        <f>H767</f>
        <v>1721.7547400000001</v>
      </c>
      <c r="I766" s="9">
        <f t="shared" si="423"/>
        <v>26.46960702289573</v>
      </c>
      <c r="J766" s="9">
        <f t="shared" si="424"/>
        <v>100</v>
      </c>
    </row>
    <row r="767" spans="1:10" ht="25.5">
      <c r="A767" s="8" t="s">
        <v>39</v>
      </c>
      <c r="B767" s="1" t="s">
        <v>49</v>
      </c>
      <c r="C767" s="1" t="s">
        <v>40</v>
      </c>
      <c r="D767" s="9">
        <f>D768</f>
        <v>6504.6</v>
      </c>
      <c r="E767" s="9">
        <f>E768</f>
        <v>6504.6479099999997</v>
      </c>
      <c r="F767" s="9">
        <f t="shared" si="436"/>
        <v>1721.7547400000001</v>
      </c>
      <c r="G767" s="9">
        <f t="shared" si="436"/>
        <v>1721.7547400000001</v>
      </c>
      <c r="H767" s="9">
        <f>H768</f>
        <v>1721.7547400000001</v>
      </c>
      <c r="I767" s="9">
        <f t="shared" si="423"/>
        <v>26.46960702289573</v>
      </c>
      <c r="J767" s="9">
        <f t="shared" si="424"/>
        <v>100</v>
      </c>
    </row>
    <row r="768" spans="1:10">
      <c r="A768" s="8" t="s">
        <v>41</v>
      </c>
      <c r="B768" s="1" t="s">
        <v>49</v>
      </c>
      <c r="C768" s="1" t="s">
        <v>42</v>
      </c>
      <c r="D768" s="9">
        <f>ведомство!G34</f>
        <v>6504.6</v>
      </c>
      <c r="E768" s="9">
        <f>ведомство!H34</f>
        <v>6504.6479099999997</v>
      </c>
      <c r="F768" s="9">
        <f>ведомство!I34</f>
        <v>1721.7547400000001</v>
      </c>
      <c r="G768" s="9">
        <f>ведомство!J34</f>
        <v>1721.7547400000001</v>
      </c>
      <c r="H768" s="9">
        <f>ведомство!K34</f>
        <v>1721.7547400000001</v>
      </c>
      <c r="I768" s="9">
        <f t="shared" si="423"/>
        <v>26.46960702289573</v>
      </c>
      <c r="J768" s="9">
        <f t="shared" si="424"/>
        <v>100</v>
      </c>
    </row>
    <row r="769" spans="1:10">
      <c r="A769" s="8" t="s">
        <v>371</v>
      </c>
      <c r="B769" s="1" t="s">
        <v>372</v>
      </c>
      <c r="C769" s="1" t="s">
        <v>0</v>
      </c>
      <c r="D769" s="9">
        <f>D770+D772+D775</f>
        <v>11016.2</v>
      </c>
      <c r="E769" s="9">
        <f>E770+E772+E775</f>
        <v>11016.2</v>
      </c>
      <c r="F769" s="9">
        <f t="shared" ref="F769:G769" si="437">F770+F772+F775</f>
        <v>6340.7291999999998</v>
      </c>
      <c r="G769" s="9">
        <f t="shared" si="437"/>
        <v>6340.7291999999998</v>
      </c>
      <c r="H769" s="9">
        <f>H770+H772+H775</f>
        <v>6340.7291999999998</v>
      </c>
      <c r="I769" s="9">
        <f t="shared" si="423"/>
        <v>57.55822515931083</v>
      </c>
      <c r="J769" s="9">
        <f t="shared" si="424"/>
        <v>100</v>
      </c>
    </row>
    <row r="770" spans="1:10" ht="25.5">
      <c r="A770" s="8" t="s">
        <v>64</v>
      </c>
      <c r="B770" s="1" t="s">
        <v>372</v>
      </c>
      <c r="C770" s="1" t="s">
        <v>65</v>
      </c>
      <c r="D770" s="9">
        <f>D771</f>
        <v>4558.2</v>
      </c>
      <c r="E770" s="9">
        <f>E771</f>
        <v>4558.2</v>
      </c>
      <c r="F770" s="9">
        <f t="shared" ref="F770:G770" si="438">F771</f>
        <v>191.85599999999999</v>
      </c>
      <c r="G770" s="9">
        <f t="shared" si="438"/>
        <v>191.85599999999999</v>
      </c>
      <c r="H770" s="9">
        <f>H771</f>
        <v>191.85599999999999</v>
      </c>
      <c r="I770" s="9">
        <f t="shared" si="423"/>
        <v>4.2090298802158745</v>
      </c>
      <c r="J770" s="9">
        <f t="shared" si="424"/>
        <v>100</v>
      </c>
    </row>
    <row r="771" spans="1:10" ht="25.5">
      <c r="A771" s="8" t="s">
        <v>66</v>
      </c>
      <c r="B771" s="1" t="s">
        <v>372</v>
      </c>
      <c r="C771" s="1" t="s">
        <v>67</v>
      </c>
      <c r="D771" s="9">
        <f>ведомство!G846</f>
        <v>4558.2</v>
      </c>
      <c r="E771" s="9">
        <f>ведомство!H846</f>
        <v>4558.2</v>
      </c>
      <c r="F771" s="9">
        <f>ведомство!I846</f>
        <v>191.85599999999999</v>
      </c>
      <c r="G771" s="9">
        <f>ведомство!J846</f>
        <v>191.85599999999999</v>
      </c>
      <c r="H771" s="9">
        <f>ведомство!K846</f>
        <v>191.85599999999999</v>
      </c>
      <c r="I771" s="9">
        <f t="shared" si="423"/>
        <v>4.2090298802158745</v>
      </c>
      <c r="J771" s="9">
        <f t="shared" si="424"/>
        <v>100</v>
      </c>
    </row>
    <row r="772" spans="1:10">
      <c r="A772" s="8" t="s">
        <v>68</v>
      </c>
      <c r="B772" s="1" t="s">
        <v>372</v>
      </c>
      <c r="C772" s="1" t="s">
        <v>69</v>
      </c>
      <c r="D772" s="9">
        <f>D773+D774</f>
        <v>725.5</v>
      </c>
      <c r="E772" s="9">
        <f>E773+E774</f>
        <v>725.5</v>
      </c>
      <c r="F772" s="9">
        <f t="shared" ref="F772:G772" si="439">F773+F774</f>
        <v>416.3732</v>
      </c>
      <c r="G772" s="9">
        <f t="shared" si="439"/>
        <v>416.3732</v>
      </c>
      <c r="H772" s="9">
        <f>H773+H774</f>
        <v>416.3732</v>
      </c>
      <c r="I772" s="9">
        <f t="shared" si="423"/>
        <v>57.391206064782907</v>
      </c>
      <c r="J772" s="9">
        <f t="shared" si="424"/>
        <v>100</v>
      </c>
    </row>
    <row r="773" spans="1:10">
      <c r="A773" s="8" t="s">
        <v>373</v>
      </c>
      <c r="B773" s="1" t="s">
        <v>372</v>
      </c>
      <c r="C773" s="1" t="s">
        <v>374</v>
      </c>
      <c r="D773" s="9">
        <f>ведомство!G848</f>
        <v>225</v>
      </c>
      <c r="E773" s="9">
        <f>ведомство!H848</f>
        <v>225</v>
      </c>
      <c r="F773" s="9">
        <f>ведомство!I848</f>
        <v>125</v>
      </c>
      <c r="G773" s="9">
        <f>ведомство!J848</f>
        <v>125</v>
      </c>
      <c r="H773" s="9">
        <f>ведомство!K848</f>
        <v>125</v>
      </c>
      <c r="I773" s="9">
        <f t="shared" si="423"/>
        <v>55.555555555555557</v>
      </c>
      <c r="J773" s="9">
        <f t="shared" si="424"/>
        <v>100</v>
      </c>
    </row>
    <row r="774" spans="1:10">
      <c r="A774" s="8" t="s">
        <v>70</v>
      </c>
      <c r="B774" s="1" t="s">
        <v>372</v>
      </c>
      <c r="C774" s="1" t="s">
        <v>71</v>
      </c>
      <c r="D774" s="9">
        <f>ведомство!G849</f>
        <v>500.5</v>
      </c>
      <c r="E774" s="9">
        <f>ведомство!H849</f>
        <v>500.5</v>
      </c>
      <c r="F774" s="9">
        <f>ведомство!I849</f>
        <v>291.3732</v>
      </c>
      <c r="G774" s="9">
        <f>ведомство!J849</f>
        <v>291.3732</v>
      </c>
      <c r="H774" s="9">
        <f>ведомство!K849</f>
        <v>291.3732</v>
      </c>
      <c r="I774" s="9">
        <f t="shared" si="423"/>
        <v>58.216423576423573</v>
      </c>
      <c r="J774" s="9">
        <f t="shared" si="424"/>
        <v>100</v>
      </c>
    </row>
    <row r="775" spans="1:10" ht="25.5">
      <c r="A775" s="8" t="s">
        <v>80</v>
      </c>
      <c r="B775" s="1" t="s">
        <v>372</v>
      </c>
      <c r="C775" s="1" t="s">
        <v>81</v>
      </c>
      <c r="D775" s="9">
        <f>D776</f>
        <v>5732.5</v>
      </c>
      <c r="E775" s="9">
        <f>E776</f>
        <v>5732.5</v>
      </c>
      <c r="F775" s="9">
        <f t="shared" ref="F775:G775" si="440">F776</f>
        <v>5732.5</v>
      </c>
      <c r="G775" s="9">
        <f t="shared" si="440"/>
        <v>5732.5</v>
      </c>
      <c r="H775" s="9">
        <f>H776</f>
        <v>5732.5</v>
      </c>
      <c r="I775" s="9">
        <f t="shared" si="423"/>
        <v>100</v>
      </c>
      <c r="J775" s="9">
        <f t="shared" si="424"/>
        <v>100</v>
      </c>
    </row>
    <row r="776" spans="1:10" ht="25.5">
      <c r="A776" s="8" t="s">
        <v>195</v>
      </c>
      <c r="B776" s="1" t="s">
        <v>372</v>
      </c>
      <c r="C776" s="1" t="s">
        <v>196</v>
      </c>
      <c r="D776" s="9">
        <f>ведомство!G851</f>
        <v>5732.5</v>
      </c>
      <c r="E776" s="9">
        <f>ведомство!H851</f>
        <v>5732.5</v>
      </c>
      <c r="F776" s="9">
        <f>ведомство!I851</f>
        <v>5732.5</v>
      </c>
      <c r="G776" s="9">
        <f>ведомство!J851</f>
        <v>5732.5</v>
      </c>
      <c r="H776" s="9">
        <f>ведомство!K851</f>
        <v>5732.5</v>
      </c>
      <c r="I776" s="9">
        <f t="shared" si="423"/>
        <v>100</v>
      </c>
      <c r="J776" s="9">
        <f t="shared" si="424"/>
        <v>100</v>
      </c>
    </row>
    <row r="777" spans="1:10" ht="25.5">
      <c r="A777" s="8" t="s">
        <v>375</v>
      </c>
      <c r="B777" s="1" t="s">
        <v>376</v>
      </c>
      <c r="C777" s="1" t="s">
        <v>0</v>
      </c>
      <c r="D777" s="9">
        <f>D778</f>
        <v>3500</v>
      </c>
      <c r="E777" s="9">
        <f>E778</f>
        <v>3500</v>
      </c>
      <c r="F777" s="9">
        <f t="shared" ref="F777:G778" si="441">F778</f>
        <v>3500</v>
      </c>
      <c r="G777" s="9">
        <f t="shared" si="441"/>
        <v>3500</v>
      </c>
      <c r="H777" s="9">
        <f>H778</f>
        <v>3500</v>
      </c>
      <c r="I777" s="9">
        <f t="shared" si="423"/>
        <v>100</v>
      </c>
      <c r="J777" s="9">
        <f t="shared" si="424"/>
        <v>100</v>
      </c>
    </row>
    <row r="778" spans="1:10">
      <c r="A778" s="8" t="s">
        <v>26</v>
      </c>
      <c r="B778" s="1" t="s">
        <v>376</v>
      </c>
      <c r="C778" s="1" t="s">
        <v>27</v>
      </c>
      <c r="D778" s="9">
        <f>D779</f>
        <v>3500</v>
      </c>
      <c r="E778" s="9">
        <f>E779</f>
        <v>3500</v>
      </c>
      <c r="F778" s="9">
        <f t="shared" si="441"/>
        <v>3500</v>
      </c>
      <c r="G778" s="9">
        <f t="shared" si="441"/>
        <v>3500</v>
      </c>
      <c r="H778" s="9">
        <f>H779</f>
        <v>3500</v>
      </c>
      <c r="I778" s="9">
        <f t="shared" si="423"/>
        <v>100</v>
      </c>
      <c r="J778" s="9">
        <f t="shared" si="424"/>
        <v>100</v>
      </c>
    </row>
    <row r="779" spans="1:10">
      <c r="A779" s="8" t="s">
        <v>56</v>
      </c>
      <c r="B779" s="1" t="s">
        <v>376</v>
      </c>
      <c r="C779" s="1" t="s">
        <v>57</v>
      </c>
      <c r="D779" s="9">
        <f>ведомство!G854</f>
        <v>3500</v>
      </c>
      <c r="E779" s="9">
        <f>ведомство!H854</f>
        <v>3500</v>
      </c>
      <c r="F779" s="9">
        <f>ведомство!I854</f>
        <v>3500</v>
      </c>
      <c r="G779" s="9">
        <f>ведомство!J854</f>
        <v>3500</v>
      </c>
      <c r="H779" s="9">
        <f>ведомство!K854</f>
        <v>3500</v>
      </c>
      <c r="I779" s="9">
        <f t="shared" si="423"/>
        <v>100</v>
      </c>
      <c r="J779" s="9">
        <f t="shared" si="424"/>
        <v>100</v>
      </c>
    </row>
    <row r="780" spans="1:10" ht="25.5">
      <c r="A780" s="8" t="s">
        <v>348</v>
      </c>
      <c r="B780" s="1" t="s">
        <v>349</v>
      </c>
      <c r="C780" s="1" t="s">
        <v>0</v>
      </c>
      <c r="D780" s="9">
        <f>D781</f>
        <v>3000</v>
      </c>
      <c r="E780" s="9">
        <f>E781</f>
        <v>3000</v>
      </c>
      <c r="F780" s="9">
        <f t="shared" ref="F780:G781" si="442">F781</f>
        <v>2500</v>
      </c>
      <c r="G780" s="9">
        <f t="shared" si="442"/>
        <v>2500</v>
      </c>
      <c r="H780" s="9">
        <f>H781</f>
        <v>2500</v>
      </c>
      <c r="I780" s="9">
        <f t="shared" si="423"/>
        <v>83.333333333333343</v>
      </c>
      <c r="J780" s="9">
        <f t="shared" si="424"/>
        <v>100</v>
      </c>
    </row>
    <row r="781" spans="1:10">
      <c r="A781" s="8" t="s">
        <v>26</v>
      </c>
      <c r="B781" s="1" t="s">
        <v>349</v>
      </c>
      <c r="C781" s="1" t="s">
        <v>27</v>
      </c>
      <c r="D781" s="9">
        <f>D782</f>
        <v>3000</v>
      </c>
      <c r="E781" s="9">
        <f>E782</f>
        <v>3000</v>
      </c>
      <c r="F781" s="9">
        <f t="shared" si="442"/>
        <v>2500</v>
      </c>
      <c r="G781" s="9">
        <f t="shared" si="442"/>
        <v>2500</v>
      </c>
      <c r="H781" s="9">
        <f>H782</f>
        <v>2500</v>
      </c>
      <c r="I781" s="9">
        <f t="shared" si="423"/>
        <v>83.333333333333343</v>
      </c>
      <c r="J781" s="9">
        <f t="shared" si="424"/>
        <v>100</v>
      </c>
    </row>
    <row r="782" spans="1:10">
      <c r="A782" s="8" t="s">
        <v>56</v>
      </c>
      <c r="B782" s="1" t="s">
        <v>349</v>
      </c>
      <c r="C782" s="1" t="s">
        <v>57</v>
      </c>
      <c r="D782" s="9">
        <f>ведомство!G763</f>
        <v>3000</v>
      </c>
      <c r="E782" s="9">
        <f>ведомство!H763</f>
        <v>3000</v>
      </c>
      <c r="F782" s="9">
        <f>ведомство!I763</f>
        <v>2500</v>
      </c>
      <c r="G782" s="9">
        <f>ведомство!J763</f>
        <v>2500</v>
      </c>
      <c r="H782" s="9">
        <f>ведомство!K763</f>
        <v>2500</v>
      </c>
      <c r="I782" s="9">
        <f t="shared" si="423"/>
        <v>83.333333333333343</v>
      </c>
      <c r="J782" s="9">
        <f t="shared" si="424"/>
        <v>100</v>
      </c>
    </row>
    <row r="783" spans="1:10">
      <c r="A783" s="8" t="s">
        <v>350</v>
      </c>
      <c r="B783" s="1" t="s">
        <v>351</v>
      </c>
      <c r="C783" s="1" t="s">
        <v>0</v>
      </c>
      <c r="D783" s="9">
        <f>D784</f>
        <v>500</v>
      </c>
      <c r="E783" s="9">
        <f>E784</f>
        <v>500</v>
      </c>
      <c r="F783" s="9">
        <f t="shared" ref="F783:G784" si="443">F784</f>
        <v>500</v>
      </c>
      <c r="G783" s="9">
        <f t="shared" si="443"/>
        <v>500</v>
      </c>
      <c r="H783" s="9">
        <f>H784</f>
        <v>475</v>
      </c>
      <c r="I783" s="9">
        <f t="shared" si="423"/>
        <v>95</v>
      </c>
      <c r="J783" s="9">
        <f t="shared" si="424"/>
        <v>95</v>
      </c>
    </row>
    <row r="784" spans="1:10">
      <c r="A784" s="8" t="s">
        <v>26</v>
      </c>
      <c r="B784" s="1" t="s">
        <v>351</v>
      </c>
      <c r="C784" s="1" t="s">
        <v>27</v>
      </c>
      <c r="D784" s="9">
        <f>D785</f>
        <v>500</v>
      </c>
      <c r="E784" s="9">
        <f>E785</f>
        <v>500</v>
      </c>
      <c r="F784" s="9">
        <f t="shared" si="443"/>
        <v>500</v>
      </c>
      <c r="G784" s="9">
        <f t="shared" si="443"/>
        <v>500</v>
      </c>
      <c r="H784" s="9">
        <f>H785</f>
        <v>475</v>
      </c>
      <c r="I784" s="9">
        <f t="shared" si="423"/>
        <v>95</v>
      </c>
      <c r="J784" s="9">
        <f t="shared" si="424"/>
        <v>95</v>
      </c>
    </row>
    <row r="785" spans="1:10">
      <c r="A785" s="8" t="s">
        <v>352</v>
      </c>
      <c r="B785" s="1" t="s">
        <v>351</v>
      </c>
      <c r="C785" s="1" t="s">
        <v>353</v>
      </c>
      <c r="D785" s="9">
        <f>ведомство!G766</f>
        <v>500</v>
      </c>
      <c r="E785" s="9">
        <f>ведомство!H766</f>
        <v>500</v>
      </c>
      <c r="F785" s="9">
        <f>ведомство!I766</f>
        <v>500</v>
      </c>
      <c r="G785" s="9">
        <f>ведомство!J766</f>
        <v>500</v>
      </c>
      <c r="H785" s="9">
        <f>ведомство!K766</f>
        <v>475</v>
      </c>
      <c r="I785" s="9">
        <f t="shared" si="423"/>
        <v>95</v>
      </c>
      <c r="J785" s="9">
        <f t="shared" si="424"/>
        <v>95</v>
      </c>
    </row>
    <row r="786" spans="1:10" ht="25.5">
      <c r="A786" s="8" t="s">
        <v>132</v>
      </c>
      <c r="B786" s="1" t="s">
        <v>133</v>
      </c>
      <c r="C786" s="1" t="s">
        <v>0</v>
      </c>
      <c r="D786" s="9">
        <f>D787+D789+D791</f>
        <v>84992.3</v>
      </c>
      <c r="E786" s="9">
        <f>E787+E789+E791</f>
        <v>84992.3</v>
      </c>
      <c r="F786" s="9">
        <f t="shared" ref="F786:G786" si="444">F787+F789+F791</f>
        <v>81385.996780000001</v>
      </c>
      <c r="G786" s="9">
        <f t="shared" si="444"/>
        <v>81385.996780000001</v>
      </c>
      <c r="H786" s="9">
        <f>H787+H789+H791</f>
        <v>81385.996780000001</v>
      </c>
      <c r="I786" s="9">
        <f t="shared" si="423"/>
        <v>95.756905955010041</v>
      </c>
      <c r="J786" s="9">
        <f t="shared" si="424"/>
        <v>100</v>
      </c>
    </row>
    <row r="787" spans="1:10" ht="25.5">
      <c r="A787" s="8" t="s">
        <v>39</v>
      </c>
      <c r="B787" s="1" t="s">
        <v>133</v>
      </c>
      <c r="C787" s="1" t="s">
        <v>40</v>
      </c>
      <c r="D787" s="9">
        <f>D788</f>
        <v>84700</v>
      </c>
      <c r="E787" s="9">
        <f>E788</f>
        <v>84700</v>
      </c>
      <c r="F787" s="9">
        <f t="shared" ref="F787:G787" si="445">F788</f>
        <v>81093.696779999998</v>
      </c>
      <c r="G787" s="9">
        <f t="shared" si="445"/>
        <v>81093.696779999998</v>
      </c>
      <c r="H787" s="9">
        <f>H788</f>
        <v>81093.696779999998</v>
      </c>
      <c r="I787" s="9">
        <f t="shared" si="423"/>
        <v>95.742263022432113</v>
      </c>
      <c r="J787" s="9">
        <f t="shared" si="424"/>
        <v>100</v>
      </c>
    </row>
    <row r="788" spans="1:10">
      <c r="A788" s="8" t="s">
        <v>41</v>
      </c>
      <c r="B788" s="1" t="s">
        <v>133</v>
      </c>
      <c r="C788" s="1" t="s">
        <v>42</v>
      </c>
      <c r="D788" s="9">
        <f>ведомство!G177</f>
        <v>84700</v>
      </c>
      <c r="E788" s="9">
        <f>ведомство!H177</f>
        <v>84700</v>
      </c>
      <c r="F788" s="9">
        <f>ведомство!I177</f>
        <v>81093.696779999998</v>
      </c>
      <c r="G788" s="9">
        <f>ведомство!J177</f>
        <v>81093.696779999998</v>
      </c>
      <c r="H788" s="9">
        <f>ведомство!K177</f>
        <v>81093.696779999998</v>
      </c>
      <c r="I788" s="9">
        <f t="shared" si="423"/>
        <v>95.742263022432113</v>
      </c>
      <c r="J788" s="9">
        <f t="shared" si="424"/>
        <v>100</v>
      </c>
    </row>
    <row r="789" spans="1:10">
      <c r="A789" s="8" t="s">
        <v>26</v>
      </c>
      <c r="B789" s="1" t="s">
        <v>133</v>
      </c>
      <c r="C789" s="1" t="s">
        <v>27</v>
      </c>
      <c r="D789" s="9">
        <f>D790</f>
        <v>0</v>
      </c>
      <c r="E789" s="9">
        <f>E790</f>
        <v>0</v>
      </c>
      <c r="F789" s="9">
        <f t="shared" ref="F789:G789" si="446">F790</f>
        <v>0</v>
      </c>
      <c r="G789" s="9">
        <f t="shared" si="446"/>
        <v>0</v>
      </c>
      <c r="H789" s="9">
        <f>H790</f>
        <v>0</v>
      </c>
      <c r="I789" s="9">
        <v>0</v>
      </c>
      <c r="J789" s="9">
        <v>0</v>
      </c>
    </row>
    <row r="790" spans="1:10">
      <c r="A790" s="8" t="s">
        <v>56</v>
      </c>
      <c r="B790" s="1" t="s">
        <v>133</v>
      </c>
      <c r="C790" s="1" t="s">
        <v>57</v>
      </c>
      <c r="D790" s="9">
        <f>ведомство!G179</f>
        <v>0</v>
      </c>
      <c r="E790" s="9">
        <f>ведомство!H179</f>
        <v>0</v>
      </c>
      <c r="F790" s="9">
        <f>ведомство!I179</f>
        <v>0</v>
      </c>
      <c r="G790" s="9">
        <f>ведомство!J179</f>
        <v>0</v>
      </c>
      <c r="H790" s="9">
        <f>ведомство!K179</f>
        <v>0</v>
      </c>
      <c r="I790" s="9">
        <v>0</v>
      </c>
      <c r="J790" s="9">
        <v>0</v>
      </c>
    </row>
    <row r="791" spans="1:10" ht="25.5">
      <c r="A791" s="8" t="s">
        <v>80</v>
      </c>
      <c r="B791" s="1" t="s">
        <v>133</v>
      </c>
      <c r="C791" s="1" t="s">
        <v>81</v>
      </c>
      <c r="D791" s="9">
        <f>D792</f>
        <v>292.3</v>
      </c>
      <c r="E791" s="9">
        <f>E792</f>
        <v>292.3</v>
      </c>
      <c r="F791" s="9">
        <f t="shared" ref="F791:G791" si="447">F792</f>
        <v>292.3</v>
      </c>
      <c r="G791" s="9">
        <f t="shared" si="447"/>
        <v>292.3</v>
      </c>
      <c r="H791" s="9">
        <f>H792</f>
        <v>292.3</v>
      </c>
      <c r="I791" s="9">
        <f t="shared" si="423"/>
        <v>100</v>
      </c>
      <c r="J791" s="9">
        <f t="shared" si="424"/>
        <v>100</v>
      </c>
    </row>
    <row r="792" spans="1:10">
      <c r="A792" s="8" t="s">
        <v>271</v>
      </c>
      <c r="B792" s="1" t="s">
        <v>133</v>
      </c>
      <c r="C792" s="1" t="s">
        <v>272</v>
      </c>
      <c r="D792" s="9">
        <f>ведомство!G786</f>
        <v>292.3</v>
      </c>
      <c r="E792" s="9">
        <f>ведомство!H786</f>
        <v>292.3</v>
      </c>
      <c r="F792" s="9">
        <f>ведомство!I786</f>
        <v>292.3</v>
      </c>
      <c r="G792" s="9">
        <f>ведомство!J786</f>
        <v>292.3</v>
      </c>
      <c r="H792" s="9">
        <f>ведомство!K786</f>
        <v>292.3</v>
      </c>
      <c r="I792" s="9">
        <f t="shared" si="423"/>
        <v>100</v>
      </c>
      <c r="J792" s="9">
        <f t="shared" si="424"/>
        <v>100</v>
      </c>
    </row>
    <row r="793" spans="1:10">
      <c r="A793" s="4" t="s">
        <v>0</v>
      </c>
      <c r="B793" s="17" t="s">
        <v>0</v>
      </c>
      <c r="C793" s="5" t="s">
        <v>0</v>
      </c>
      <c r="D793" s="7" t="s">
        <v>0</v>
      </c>
      <c r="E793" s="7" t="s">
        <v>0</v>
      </c>
      <c r="F793" s="7" t="s">
        <v>0</v>
      </c>
      <c r="G793" s="7" t="s">
        <v>0</v>
      </c>
      <c r="H793" s="7" t="s">
        <v>0</v>
      </c>
      <c r="I793" s="7"/>
      <c r="J793" s="7"/>
    </row>
    <row r="794" spans="1:10" ht="38.25">
      <c r="A794" s="4" t="s">
        <v>186</v>
      </c>
      <c r="B794" s="5" t="s">
        <v>187</v>
      </c>
      <c r="C794" s="5" t="s">
        <v>0</v>
      </c>
      <c r="D794" s="7">
        <f>D795+D973+D987+D1006</f>
        <v>912803.60000000009</v>
      </c>
      <c r="E794" s="7">
        <f>E795+E973+E987+E1006</f>
        <v>1136274</v>
      </c>
      <c r="F794" s="7">
        <f t="shared" ref="F794:G794" si="448">F795+F973+F987+F1006</f>
        <v>918514.59249000007</v>
      </c>
      <c r="G794" s="7">
        <f t="shared" si="448"/>
        <v>916870.04464900005</v>
      </c>
      <c r="H794" s="7">
        <f>H795+H973+H987+H1006</f>
        <v>912373.86702000001</v>
      </c>
      <c r="I794" s="7">
        <f t="shared" si="423"/>
        <v>80.295233985816807</v>
      </c>
      <c r="J794" s="7">
        <f t="shared" si="424"/>
        <v>99.331450417858562</v>
      </c>
    </row>
    <row r="795" spans="1:10" ht="25.5">
      <c r="A795" s="4" t="s">
        <v>188</v>
      </c>
      <c r="B795" s="5" t="s">
        <v>189</v>
      </c>
      <c r="C795" s="5" t="s">
        <v>0</v>
      </c>
      <c r="D795" s="7">
        <f>D796+D799+D802+D805+D808+D811+D814+D817+D820++D823+D826+D829+D832+D835+D838+D841+D844+D847+D850+D853+D856++D859+D862+D865+D868+D873+D876+D879+D882+D885+D888+D891+D894+D897+D900+D903+D906+D909+D912+D915+D918+D921++D924+D930+D927+D933+D936+D939+D942+D945+D948+D951+D954+D957+D960+D963+D966+D969</f>
        <v>664060</v>
      </c>
      <c r="E795" s="7">
        <f>E796+E799+E802+E805+E808+E811+E814+E817+E820++E823+E826+E829+E832+E835+E838+E841+E844+E847+E850+E853+E856++E859+E862+E865+E868+E873+E876+E879+E882+E885+E888+E891+E894+E897+E900+E903+E906+E909+E912+E915+E918+E921++E924+E930+E927+E933+E936+E939+E942+E945+E948+E951+E954+E957+E960+E963+E966+E969</f>
        <v>846189.39999999991</v>
      </c>
      <c r="F795" s="7">
        <f t="shared" ref="F795:G795" si="449">F796+F799+F802+F805+F808+F811+F814+F817+F820++F823+F826+F829+F832+F835+F838+F841+F844+F847+F850+F853+F856++F859+F862+F865+F868+F873+F876+F879+F882+F885+F888+F891+F894+F897+F900+F903+F906+F909+F912+F915+F918+F921++F924+F930+F927+F933+F936+F939+F942+F945+F948+F951+F954+F957+F960+F963+F966+F969</f>
        <v>702053.15482000005</v>
      </c>
      <c r="G795" s="7">
        <f t="shared" si="449"/>
        <v>701336.49134000007</v>
      </c>
      <c r="H795" s="7">
        <f>H796+H799+H802+H805+H808+H811+H814+H817+H820++H823+H826+H829+H832+H835+H838+H841+H844+H847+H850+H853+H856++H859+H862+H865+H868+H873+H876+H879+H882+H885+H888+H891+H894+H897+H900+H903+H906+H909+H912+H915+H918+H921++H924+H930+H927+H933+H936+H939+H942+H945+H948+H951+H954+H957+H960+H963+H966+H969</f>
        <v>701291.96960000007</v>
      </c>
      <c r="I795" s="7">
        <f t="shared" si="423"/>
        <v>82.876477724726897</v>
      </c>
      <c r="J795" s="7">
        <f t="shared" si="424"/>
        <v>99.89157726665367</v>
      </c>
    </row>
    <row r="796" spans="1:10">
      <c r="A796" s="8" t="s">
        <v>490</v>
      </c>
      <c r="B796" s="1" t="s">
        <v>491</v>
      </c>
      <c r="C796" s="1" t="s">
        <v>0</v>
      </c>
      <c r="D796" s="9">
        <f>D797</f>
        <v>933.1</v>
      </c>
      <c r="E796" s="9">
        <f>E797</f>
        <v>752.1</v>
      </c>
      <c r="F796" s="9">
        <f t="shared" ref="F796:G797" si="450">F797</f>
        <v>752.1</v>
      </c>
      <c r="G796" s="9">
        <f t="shared" si="450"/>
        <v>752.1</v>
      </c>
      <c r="H796" s="9">
        <f>H797</f>
        <v>752.1</v>
      </c>
      <c r="I796" s="9">
        <f t="shared" si="423"/>
        <v>100</v>
      </c>
      <c r="J796" s="9">
        <f t="shared" si="424"/>
        <v>100</v>
      </c>
    </row>
    <row r="797" spans="1:10">
      <c r="A797" s="8" t="s">
        <v>72</v>
      </c>
      <c r="B797" s="1" t="s">
        <v>491</v>
      </c>
      <c r="C797" s="1" t="s">
        <v>73</v>
      </c>
      <c r="D797" s="9">
        <f>D798</f>
        <v>933.1</v>
      </c>
      <c r="E797" s="9">
        <f>E798</f>
        <v>752.1</v>
      </c>
      <c r="F797" s="9">
        <f t="shared" si="450"/>
        <v>752.1</v>
      </c>
      <c r="G797" s="9">
        <f t="shared" si="450"/>
        <v>752.1</v>
      </c>
      <c r="H797" s="9">
        <f>H798</f>
        <v>752.1</v>
      </c>
      <c r="I797" s="9">
        <f t="shared" si="423"/>
        <v>100</v>
      </c>
      <c r="J797" s="9">
        <f t="shared" si="424"/>
        <v>100</v>
      </c>
    </row>
    <row r="798" spans="1:10" ht="38.25">
      <c r="A798" s="8" t="s">
        <v>218</v>
      </c>
      <c r="B798" s="1" t="s">
        <v>491</v>
      </c>
      <c r="C798" s="1" t="s">
        <v>219</v>
      </c>
      <c r="D798" s="9">
        <f>ведомство!G1268</f>
        <v>933.1</v>
      </c>
      <c r="E798" s="9">
        <f>ведомство!H1268</f>
        <v>752.1</v>
      </c>
      <c r="F798" s="9">
        <f>ведомство!I1268</f>
        <v>752.1</v>
      </c>
      <c r="G798" s="9">
        <f>ведомство!J1268</f>
        <v>752.1</v>
      </c>
      <c r="H798" s="9">
        <f>ведомство!K1268</f>
        <v>752.1</v>
      </c>
      <c r="I798" s="9">
        <f t="shared" si="423"/>
        <v>100</v>
      </c>
      <c r="J798" s="9">
        <f t="shared" si="424"/>
        <v>100</v>
      </c>
    </row>
    <row r="799" spans="1:10" ht="38.25">
      <c r="A799" s="8" t="s">
        <v>492</v>
      </c>
      <c r="B799" s="1" t="s">
        <v>493</v>
      </c>
      <c r="C799" s="1" t="s">
        <v>0</v>
      </c>
      <c r="D799" s="9">
        <f>D800</f>
        <v>40010.9</v>
      </c>
      <c r="E799" s="9">
        <f>E800</f>
        <v>40010.9</v>
      </c>
      <c r="F799" s="9">
        <f t="shared" ref="F799:G800" si="451">F800</f>
        <v>39996.565000000002</v>
      </c>
      <c r="G799" s="9">
        <f t="shared" si="451"/>
        <v>39996.565000000002</v>
      </c>
      <c r="H799" s="9">
        <f>H800</f>
        <v>39996.565000000002</v>
      </c>
      <c r="I799" s="9">
        <f t="shared" si="423"/>
        <v>99.964172263058316</v>
      </c>
      <c r="J799" s="9">
        <f t="shared" si="424"/>
        <v>100</v>
      </c>
    </row>
    <row r="800" spans="1:10">
      <c r="A800" s="8" t="s">
        <v>72</v>
      </c>
      <c r="B800" s="1" t="s">
        <v>493</v>
      </c>
      <c r="C800" s="1" t="s">
        <v>73</v>
      </c>
      <c r="D800" s="9">
        <f>D801</f>
        <v>40010.9</v>
      </c>
      <c r="E800" s="9">
        <f>E801</f>
        <v>40010.9</v>
      </c>
      <c r="F800" s="9">
        <f t="shared" si="451"/>
        <v>39996.565000000002</v>
      </c>
      <c r="G800" s="9">
        <f t="shared" si="451"/>
        <v>39996.565000000002</v>
      </c>
      <c r="H800" s="9">
        <f>H801</f>
        <v>39996.565000000002</v>
      </c>
      <c r="I800" s="9">
        <f t="shared" si="423"/>
        <v>99.964172263058316</v>
      </c>
      <c r="J800" s="9">
        <f t="shared" si="424"/>
        <v>100</v>
      </c>
    </row>
    <row r="801" spans="1:10" ht="38.25">
      <c r="A801" s="8" t="s">
        <v>218</v>
      </c>
      <c r="B801" s="1" t="s">
        <v>493</v>
      </c>
      <c r="C801" s="1" t="s">
        <v>219</v>
      </c>
      <c r="D801" s="9">
        <f>ведомство!G1271</f>
        <v>40010.9</v>
      </c>
      <c r="E801" s="9">
        <f>ведомство!H1271</f>
        <v>40010.9</v>
      </c>
      <c r="F801" s="9">
        <f>ведомство!I1271</f>
        <v>39996.565000000002</v>
      </c>
      <c r="G801" s="9">
        <f>ведомство!J1271</f>
        <v>39996.565000000002</v>
      </c>
      <c r="H801" s="9">
        <f>ведомство!K1271</f>
        <v>39996.565000000002</v>
      </c>
      <c r="I801" s="9">
        <f t="shared" si="423"/>
        <v>99.964172263058316</v>
      </c>
      <c r="J801" s="9">
        <f t="shared" si="424"/>
        <v>100</v>
      </c>
    </row>
    <row r="802" spans="1:10" s="42" customFormat="1" ht="38.25">
      <c r="A802" s="8" t="s">
        <v>1149</v>
      </c>
      <c r="B802" s="24" t="s">
        <v>1148</v>
      </c>
      <c r="C802" s="1"/>
      <c r="D802" s="9">
        <f>D803</f>
        <v>0</v>
      </c>
      <c r="E802" s="9">
        <f>E803</f>
        <v>2652.5</v>
      </c>
      <c r="F802" s="9">
        <f t="shared" ref="F802:G803" si="452">F803</f>
        <v>1399.365</v>
      </c>
      <c r="G802" s="9">
        <f t="shared" si="452"/>
        <v>1399.365</v>
      </c>
      <c r="H802" s="9">
        <f>H803</f>
        <v>1399.365</v>
      </c>
      <c r="I802" s="9">
        <f t="shared" ref="I802:I807" si="453">H802/E802*100</f>
        <v>52.756456173421299</v>
      </c>
      <c r="J802" s="9">
        <f t="shared" ref="J802:J807" si="454">H802/F802*100</f>
        <v>100</v>
      </c>
    </row>
    <row r="803" spans="1:10" s="42" customFormat="1">
      <c r="A803" s="8" t="s">
        <v>72</v>
      </c>
      <c r="B803" s="24" t="s">
        <v>1148</v>
      </c>
      <c r="C803" s="1" t="s">
        <v>73</v>
      </c>
      <c r="D803" s="9">
        <f>D804</f>
        <v>0</v>
      </c>
      <c r="E803" s="9">
        <f>E804</f>
        <v>2652.5</v>
      </c>
      <c r="F803" s="9">
        <f t="shared" si="452"/>
        <v>1399.365</v>
      </c>
      <c r="G803" s="9">
        <f t="shared" si="452"/>
        <v>1399.365</v>
      </c>
      <c r="H803" s="9">
        <f>H804</f>
        <v>1399.365</v>
      </c>
      <c r="I803" s="9">
        <f t="shared" si="453"/>
        <v>52.756456173421299</v>
      </c>
      <c r="J803" s="9">
        <f t="shared" si="454"/>
        <v>100</v>
      </c>
    </row>
    <row r="804" spans="1:10" s="42" customFormat="1" ht="38.25">
      <c r="A804" s="8" t="s">
        <v>218</v>
      </c>
      <c r="B804" s="24" t="s">
        <v>1148</v>
      </c>
      <c r="C804" s="1" t="s">
        <v>219</v>
      </c>
      <c r="D804" s="9">
        <f>ведомство!G1274</f>
        <v>0</v>
      </c>
      <c r="E804" s="9">
        <f>ведомство!H1274</f>
        <v>2652.5</v>
      </c>
      <c r="F804" s="9">
        <f>ведомство!I1274</f>
        <v>1399.365</v>
      </c>
      <c r="G804" s="9">
        <f>ведомство!J1274</f>
        <v>1399.365</v>
      </c>
      <c r="H804" s="9">
        <f>ведомство!K1274</f>
        <v>1399.365</v>
      </c>
      <c r="I804" s="9">
        <f t="shared" si="453"/>
        <v>52.756456173421299</v>
      </c>
      <c r="J804" s="9">
        <f t="shared" si="454"/>
        <v>100</v>
      </c>
    </row>
    <row r="805" spans="1:10" s="42" customFormat="1" ht="51">
      <c r="A805" s="8" t="s">
        <v>1151</v>
      </c>
      <c r="B805" s="24" t="s">
        <v>1150</v>
      </c>
      <c r="C805" s="1"/>
      <c r="D805" s="9">
        <f>D806</f>
        <v>0</v>
      </c>
      <c r="E805" s="9">
        <f>E806</f>
        <v>9549.4</v>
      </c>
      <c r="F805" s="9">
        <f t="shared" ref="F805:G806" si="455">F806</f>
        <v>5320.7150000000001</v>
      </c>
      <c r="G805" s="9">
        <f t="shared" si="455"/>
        <v>5320.7150000000001</v>
      </c>
      <c r="H805" s="9">
        <f>H806</f>
        <v>5320.7150000000001</v>
      </c>
      <c r="I805" s="9">
        <f t="shared" si="453"/>
        <v>55.717793788091406</v>
      </c>
      <c r="J805" s="9">
        <f t="shared" si="454"/>
        <v>100</v>
      </c>
    </row>
    <row r="806" spans="1:10" s="42" customFormat="1">
      <c r="A806" s="8" t="s">
        <v>72</v>
      </c>
      <c r="B806" s="24" t="s">
        <v>1150</v>
      </c>
      <c r="C806" s="1" t="s">
        <v>73</v>
      </c>
      <c r="D806" s="9">
        <f>D807</f>
        <v>0</v>
      </c>
      <c r="E806" s="9">
        <f>E807</f>
        <v>9549.4</v>
      </c>
      <c r="F806" s="9">
        <f t="shared" si="455"/>
        <v>5320.7150000000001</v>
      </c>
      <c r="G806" s="9">
        <f t="shared" si="455"/>
        <v>5320.7150000000001</v>
      </c>
      <c r="H806" s="9">
        <f>H807</f>
        <v>5320.7150000000001</v>
      </c>
      <c r="I806" s="9">
        <f t="shared" si="453"/>
        <v>55.717793788091406</v>
      </c>
      <c r="J806" s="9">
        <f t="shared" si="454"/>
        <v>100</v>
      </c>
    </row>
    <row r="807" spans="1:10" s="42" customFormat="1" ht="38.25">
      <c r="A807" s="8" t="s">
        <v>218</v>
      </c>
      <c r="B807" s="24" t="s">
        <v>1150</v>
      </c>
      <c r="C807" s="1" t="s">
        <v>219</v>
      </c>
      <c r="D807" s="9">
        <f>ведомство!G1277</f>
        <v>0</v>
      </c>
      <c r="E807" s="9">
        <f>ведомство!H1277</f>
        <v>9549.4</v>
      </c>
      <c r="F807" s="9">
        <f>ведомство!I1277</f>
        <v>5320.7150000000001</v>
      </c>
      <c r="G807" s="9">
        <f>ведомство!J1277</f>
        <v>5320.7150000000001</v>
      </c>
      <c r="H807" s="9">
        <f>ведомство!K1277</f>
        <v>5320.7150000000001</v>
      </c>
      <c r="I807" s="9">
        <f t="shared" si="453"/>
        <v>55.717793788091406</v>
      </c>
      <c r="J807" s="9">
        <f t="shared" si="454"/>
        <v>100</v>
      </c>
    </row>
    <row r="808" spans="1:10" ht="51">
      <c r="A808" s="8" t="s">
        <v>494</v>
      </c>
      <c r="B808" s="1" t="s">
        <v>495</v>
      </c>
      <c r="C808" s="1" t="s">
        <v>0</v>
      </c>
      <c r="D808" s="9">
        <f>D809</f>
        <v>5081.2</v>
      </c>
      <c r="E808" s="9">
        <f>E809</f>
        <v>0</v>
      </c>
      <c r="F808" s="9">
        <f t="shared" ref="F808:G809" si="456">F809</f>
        <v>0</v>
      </c>
      <c r="G808" s="9">
        <f t="shared" si="456"/>
        <v>0</v>
      </c>
      <c r="H808" s="9">
        <f>H809</f>
        <v>0</v>
      </c>
      <c r="I808" s="9">
        <v>0</v>
      </c>
      <c r="J808" s="9">
        <v>0</v>
      </c>
    </row>
    <row r="809" spans="1:10">
      <c r="A809" s="8" t="s">
        <v>72</v>
      </c>
      <c r="B809" s="1" t="s">
        <v>495</v>
      </c>
      <c r="C809" s="1" t="s">
        <v>73</v>
      </c>
      <c r="D809" s="9">
        <f>D810</f>
        <v>5081.2</v>
      </c>
      <c r="E809" s="9">
        <f>E810</f>
        <v>0</v>
      </c>
      <c r="F809" s="9">
        <f t="shared" si="456"/>
        <v>0</v>
      </c>
      <c r="G809" s="9">
        <f t="shared" si="456"/>
        <v>0</v>
      </c>
      <c r="H809" s="9">
        <f>H810</f>
        <v>0</v>
      </c>
      <c r="I809" s="9">
        <v>0</v>
      </c>
      <c r="J809" s="9">
        <v>0</v>
      </c>
    </row>
    <row r="810" spans="1:10" ht="38.25">
      <c r="A810" s="8" t="s">
        <v>218</v>
      </c>
      <c r="B810" s="1" t="s">
        <v>495</v>
      </c>
      <c r="C810" s="1" t="s">
        <v>219</v>
      </c>
      <c r="D810" s="9">
        <f>ведомство!G1280</f>
        <v>5081.2</v>
      </c>
      <c r="E810" s="9">
        <f>ведомство!H1280</f>
        <v>0</v>
      </c>
      <c r="F810" s="9">
        <f>ведомство!I1280</f>
        <v>0</v>
      </c>
      <c r="G810" s="9">
        <f>ведомство!J1280</f>
        <v>0</v>
      </c>
      <c r="H810" s="9">
        <f>ведомство!K1280</f>
        <v>0</v>
      </c>
      <c r="I810" s="9">
        <v>0</v>
      </c>
      <c r="J810" s="9">
        <v>0</v>
      </c>
    </row>
    <row r="811" spans="1:10" ht="25.5">
      <c r="A811" s="8" t="s">
        <v>496</v>
      </c>
      <c r="B811" s="1" t="s">
        <v>497</v>
      </c>
      <c r="C811" s="1" t="s">
        <v>0</v>
      </c>
      <c r="D811" s="9">
        <f>D812</f>
        <v>16337.4</v>
      </c>
      <c r="E811" s="9">
        <f>E812</f>
        <v>20142.7</v>
      </c>
      <c r="F811" s="9">
        <f t="shared" ref="F811:G812" si="457">F812</f>
        <v>19135.564999999999</v>
      </c>
      <c r="G811" s="9">
        <f t="shared" si="457"/>
        <v>19135.564999999999</v>
      </c>
      <c r="H811" s="9">
        <f>H812</f>
        <v>19135.564999999999</v>
      </c>
      <c r="I811" s="9">
        <f t="shared" si="423"/>
        <v>95</v>
      </c>
      <c r="J811" s="9">
        <f t="shared" si="424"/>
        <v>100</v>
      </c>
    </row>
    <row r="812" spans="1:10">
      <c r="A812" s="8" t="s">
        <v>72</v>
      </c>
      <c r="B812" s="1" t="s">
        <v>497</v>
      </c>
      <c r="C812" s="1" t="s">
        <v>73</v>
      </c>
      <c r="D812" s="9">
        <f>D813</f>
        <v>16337.4</v>
      </c>
      <c r="E812" s="9">
        <f>E813</f>
        <v>20142.7</v>
      </c>
      <c r="F812" s="9">
        <f t="shared" si="457"/>
        <v>19135.564999999999</v>
      </c>
      <c r="G812" s="9">
        <f t="shared" si="457"/>
        <v>19135.564999999999</v>
      </c>
      <c r="H812" s="9">
        <f>H813</f>
        <v>19135.564999999999</v>
      </c>
      <c r="I812" s="9">
        <f t="shared" si="423"/>
        <v>95</v>
      </c>
      <c r="J812" s="9">
        <f t="shared" si="424"/>
        <v>100</v>
      </c>
    </row>
    <row r="813" spans="1:10" ht="38.25">
      <c r="A813" s="8" t="s">
        <v>218</v>
      </c>
      <c r="B813" s="1" t="s">
        <v>497</v>
      </c>
      <c r="C813" s="1" t="s">
        <v>219</v>
      </c>
      <c r="D813" s="9">
        <f>ведомство!G1283</f>
        <v>16337.4</v>
      </c>
      <c r="E813" s="9">
        <f>ведомство!H1283</f>
        <v>20142.7</v>
      </c>
      <c r="F813" s="9">
        <f>ведомство!I1283</f>
        <v>19135.564999999999</v>
      </c>
      <c r="G813" s="9">
        <f>ведомство!J1283</f>
        <v>19135.564999999999</v>
      </c>
      <c r="H813" s="9">
        <f>ведомство!K1283</f>
        <v>19135.564999999999</v>
      </c>
      <c r="I813" s="9">
        <f t="shared" si="423"/>
        <v>95</v>
      </c>
      <c r="J813" s="9">
        <f t="shared" si="424"/>
        <v>100</v>
      </c>
    </row>
    <row r="814" spans="1:10">
      <c r="A814" s="8" t="s">
        <v>498</v>
      </c>
      <c r="B814" s="1" t="s">
        <v>499</v>
      </c>
      <c r="C814" s="1" t="s">
        <v>0</v>
      </c>
      <c r="D814" s="9">
        <f>D815</f>
        <v>310.10000000000002</v>
      </c>
      <c r="E814" s="9">
        <f>E815</f>
        <v>310.10000000000002</v>
      </c>
      <c r="F814" s="9">
        <f t="shared" ref="F814:G815" si="458">F815</f>
        <v>310.10000000000002</v>
      </c>
      <c r="G814" s="9">
        <f t="shared" si="458"/>
        <v>310.10000000000002</v>
      </c>
      <c r="H814" s="9">
        <f>H815</f>
        <v>310.10000000000002</v>
      </c>
      <c r="I814" s="9">
        <f t="shared" si="423"/>
        <v>100</v>
      </c>
      <c r="J814" s="9">
        <f t="shared" si="424"/>
        <v>100</v>
      </c>
    </row>
    <row r="815" spans="1:10">
      <c r="A815" s="8" t="s">
        <v>72</v>
      </c>
      <c r="B815" s="1" t="s">
        <v>499</v>
      </c>
      <c r="C815" s="1" t="s">
        <v>73</v>
      </c>
      <c r="D815" s="9">
        <f>D816</f>
        <v>310.10000000000002</v>
      </c>
      <c r="E815" s="9">
        <f>E816</f>
        <v>310.10000000000002</v>
      </c>
      <c r="F815" s="9">
        <f t="shared" si="458"/>
        <v>310.10000000000002</v>
      </c>
      <c r="G815" s="9">
        <f t="shared" si="458"/>
        <v>310.10000000000002</v>
      </c>
      <c r="H815" s="9">
        <f>H816</f>
        <v>310.10000000000002</v>
      </c>
      <c r="I815" s="9">
        <f t="shared" si="423"/>
        <v>100</v>
      </c>
      <c r="J815" s="9">
        <f t="shared" si="424"/>
        <v>100</v>
      </c>
    </row>
    <row r="816" spans="1:10" ht="38.25">
      <c r="A816" s="8" t="s">
        <v>218</v>
      </c>
      <c r="B816" s="1" t="s">
        <v>499</v>
      </c>
      <c r="C816" s="1" t="s">
        <v>219</v>
      </c>
      <c r="D816" s="9">
        <f>ведомство!G1286</f>
        <v>310.10000000000002</v>
      </c>
      <c r="E816" s="9">
        <f>ведомство!H1286</f>
        <v>310.10000000000002</v>
      </c>
      <c r="F816" s="9">
        <f>ведомство!I1286</f>
        <v>310.10000000000002</v>
      </c>
      <c r="G816" s="9">
        <f>ведомство!J1286</f>
        <v>310.10000000000002</v>
      </c>
      <c r="H816" s="9">
        <f>ведомство!K1286</f>
        <v>310.10000000000002</v>
      </c>
      <c r="I816" s="9">
        <f t="shared" si="423"/>
        <v>100</v>
      </c>
      <c r="J816" s="9">
        <f t="shared" si="424"/>
        <v>100</v>
      </c>
    </row>
    <row r="817" spans="1:10" ht="25.5">
      <c r="A817" s="8" t="s">
        <v>500</v>
      </c>
      <c r="B817" s="1" t="s">
        <v>501</v>
      </c>
      <c r="C817" s="1" t="s">
        <v>0</v>
      </c>
      <c r="D817" s="9">
        <f>D818</f>
        <v>89968.2</v>
      </c>
      <c r="E817" s="9">
        <f>E818</f>
        <v>100349.3</v>
      </c>
      <c r="F817" s="9">
        <f t="shared" ref="F817:G818" si="459">F818</f>
        <v>65560.862899999993</v>
      </c>
      <c r="G817" s="9">
        <f t="shared" si="459"/>
        <v>65560.862899999993</v>
      </c>
      <c r="H817" s="9">
        <f>H818</f>
        <v>65560.862899999993</v>
      </c>
      <c r="I817" s="9">
        <f t="shared" si="423"/>
        <v>65.332655932826626</v>
      </c>
      <c r="J817" s="9">
        <f t="shared" si="424"/>
        <v>100</v>
      </c>
    </row>
    <row r="818" spans="1:10">
      <c r="A818" s="8" t="s">
        <v>72</v>
      </c>
      <c r="B818" s="1" t="s">
        <v>501</v>
      </c>
      <c r="C818" s="1" t="s">
        <v>73</v>
      </c>
      <c r="D818" s="9">
        <f>D819</f>
        <v>89968.2</v>
      </c>
      <c r="E818" s="9">
        <f>E819</f>
        <v>100349.3</v>
      </c>
      <c r="F818" s="9">
        <f t="shared" si="459"/>
        <v>65560.862899999993</v>
      </c>
      <c r="G818" s="9">
        <f t="shared" si="459"/>
        <v>65560.862899999993</v>
      </c>
      <c r="H818" s="9">
        <f>H819</f>
        <v>65560.862899999993</v>
      </c>
      <c r="I818" s="9">
        <f t="shared" ref="I818:I914" si="460">H818/E818*100</f>
        <v>65.332655932826626</v>
      </c>
      <c r="J818" s="9">
        <f t="shared" ref="J818:J914" si="461">H818/F818*100</f>
        <v>100</v>
      </c>
    </row>
    <row r="819" spans="1:10" ht="38.25">
      <c r="A819" s="8" t="s">
        <v>218</v>
      </c>
      <c r="B819" s="1" t="s">
        <v>501</v>
      </c>
      <c r="C819" s="1" t="s">
        <v>219</v>
      </c>
      <c r="D819" s="9">
        <f>ведомство!G1289</f>
        <v>89968.2</v>
      </c>
      <c r="E819" s="9">
        <f>ведомство!H1289</f>
        <v>100349.3</v>
      </c>
      <c r="F819" s="9">
        <f>ведомство!I1289</f>
        <v>65560.862899999993</v>
      </c>
      <c r="G819" s="9">
        <f>ведомство!J1289</f>
        <v>65560.862899999993</v>
      </c>
      <c r="H819" s="9">
        <f>ведомство!K1289</f>
        <v>65560.862899999993</v>
      </c>
      <c r="I819" s="9">
        <f t="shared" si="460"/>
        <v>65.332655932826626</v>
      </c>
      <c r="J819" s="9">
        <f t="shared" si="461"/>
        <v>100</v>
      </c>
    </row>
    <row r="820" spans="1:10" ht="25.5">
      <c r="A820" s="8" t="s">
        <v>502</v>
      </c>
      <c r="B820" s="1" t="s">
        <v>503</v>
      </c>
      <c r="C820" s="1" t="s">
        <v>0</v>
      </c>
      <c r="D820" s="9">
        <f>D821</f>
        <v>356.8</v>
      </c>
      <c r="E820" s="9">
        <f>E821</f>
        <v>356.8</v>
      </c>
      <c r="F820" s="9">
        <f t="shared" ref="F820:G821" si="462">F821</f>
        <v>356.8</v>
      </c>
      <c r="G820" s="9">
        <f t="shared" si="462"/>
        <v>356.8</v>
      </c>
      <c r="H820" s="9">
        <f>H821</f>
        <v>356.8</v>
      </c>
      <c r="I820" s="9">
        <f t="shared" si="460"/>
        <v>100</v>
      </c>
      <c r="J820" s="9">
        <f t="shared" si="461"/>
        <v>100</v>
      </c>
    </row>
    <row r="821" spans="1:10">
      <c r="A821" s="8" t="s">
        <v>72</v>
      </c>
      <c r="B821" s="1" t="s">
        <v>503</v>
      </c>
      <c r="C821" s="1" t="s">
        <v>73</v>
      </c>
      <c r="D821" s="9">
        <f>D822</f>
        <v>356.8</v>
      </c>
      <c r="E821" s="9">
        <f>E822</f>
        <v>356.8</v>
      </c>
      <c r="F821" s="9">
        <f t="shared" si="462"/>
        <v>356.8</v>
      </c>
      <c r="G821" s="9">
        <f t="shared" si="462"/>
        <v>356.8</v>
      </c>
      <c r="H821" s="9">
        <f>H822</f>
        <v>356.8</v>
      </c>
      <c r="I821" s="9">
        <f t="shared" si="460"/>
        <v>100</v>
      </c>
      <c r="J821" s="9">
        <f t="shared" si="461"/>
        <v>100</v>
      </c>
    </row>
    <row r="822" spans="1:10" ht="38.25">
      <c r="A822" s="8" t="s">
        <v>218</v>
      </c>
      <c r="B822" s="1" t="s">
        <v>503</v>
      </c>
      <c r="C822" s="1" t="s">
        <v>219</v>
      </c>
      <c r="D822" s="9">
        <f>ведомство!G1292</f>
        <v>356.8</v>
      </c>
      <c r="E822" s="9">
        <f>ведомство!H1292</f>
        <v>356.8</v>
      </c>
      <c r="F822" s="9">
        <f>ведомство!I1292</f>
        <v>356.8</v>
      </c>
      <c r="G822" s="9">
        <f>ведомство!J1292</f>
        <v>356.8</v>
      </c>
      <c r="H822" s="9">
        <f>ведомство!K1292</f>
        <v>356.8</v>
      </c>
      <c r="I822" s="9">
        <f t="shared" si="460"/>
        <v>100</v>
      </c>
      <c r="J822" s="9">
        <f t="shared" si="461"/>
        <v>100</v>
      </c>
    </row>
    <row r="823" spans="1:10" s="42" customFormat="1" ht="51">
      <c r="A823" s="8" t="s">
        <v>1153</v>
      </c>
      <c r="B823" s="24" t="s">
        <v>1152</v>
      </c>
      <c r="C823" s="1"/>
      <c r="D823" s="9">
        <f>D824</f>
        <v>0</v>
      </c>
      <c r="E823" s="9">
        <f>E824</f>
        <v>5891.7</v>
      </c>
      <c r="F823" s="9">
        <f t="shared" ref="F823:G824" si="463">F824</f>
        <v>5891.7</v>
      </c>
      <c r="G823" s="9">
        <f t="shared" si="463"/>
        <v>5891.7</v>
      </c>
      <c r="H823" s="9">
        <f>H824</f>
        <v>5891.7</v>
      </c>
      <c r="I823" s="9">
        <f t="shared" ref="I823:I825" si="464">H823/E823*100</f>
        <v>100</v>
      </c>
      <c r="J823" s="9">
        <f t="shared" ref="J823:J825" si="465">H823/F823*100</f>
        <v>100</v>
      </c>
    </row>
    <row r="824" spans="1:10" s="42" customFormat="1">
      <c r="A824" s="8" t="s">
        <v>72</v>
      </c>
      <c r="B824" s="24" t="s">
        <v>1152</v>
      </c>
      <c r="C824" s="1" t="s">
        <v>73</v>
      </c>
      <c r="D824" s="9">
        <f>D825</f>
        <v>0</v>
      </c>
      <c r="E824" s="9">
        <f>E825</f>
        <v>5891.7</v>
      </c>
      <c r="F824" s="9">
        <f t="shared" si="463"/>
        <v>5891.7</v>
      </c>
      <c r="G824" s="9">
        <f t="shared" si="463"/>
        <v>5891.7</v>
      </c>
      <c r="H824" s="9">
        <f>H825</f>
        <v>5891.7</v>
      </c>
      <c r="I824" s="9">
        <f t="shared" si="464"/>
        <v>100</v>
      </c>
      <c r="J824" s="9">
        <f t="shared" si="465"/>
        <v>100</v>
      </c>
    </row>
    <row r="825" spans="1:10" s="42" customFormat="1" ht="38.25">
      <c r="A825" s="8" t="s">
        <v>218</v>
      </c>
      <c r="B825" s="24" t="s">
        <v>1152</v>
      </c>
      <c r="C825" s="1" t="s">
        <v>219</v>
      </c>
      <c r="D825" s="9">
        <f>ведомство!G1295</f>
        <v>0</v>
      </c>
      <c r="E825" s="9">
        <f>ведомство!H1295</f>
        <v>5891.7</v>
      </c>
      <c r="F825" s="9">
        <f>ведомство!I1295</f>
        <v>5891.7</v>
      </c>
      <c r="G825" s="9">
        <f>ведомство!J1295</f>
        <v>5891.7</v>
      </c>
      <c r="H825" s="9">
        <f>ведомство!K1295</f>
        <v>5891.7</v>
      </c>
      <c r="I825" s="9">
        <f t="shared" si="464"/>
        <v>100</v>
      </c>
      <c r="J825" s="9">
        <f t="shared" si="465"/>
        <v>100</v>
      </c>
    </row>
    <row r="826" spans="1:10" ht="51">
      <c r="A826" s="8" t="s">
        <v>504</v>
      </c>
      <c r="B826" s="1" t="s">
        <v>505</v>
      </c>
      <c r="C826" s="1" t="s">
        <v>0</v>
      </c>
      <c r="D826" s="9">
        <f>D827</f>
        <v>1999.8</v>
      </c>
      <c r="E826" s="9">
        <f>E827</f>
        <v>0</v>
      </c>
      <c r="F826" s="9">
        <f t="shared" ref="F826:G827" si="466">F827</f>
        <v>0</v>
      </c>
      <c r="G826" s="9">
        <f t="shared" si="466"/>
        <v>0</v>
      </c>
      <c r="H826" s="9">
        <f>H827</f>
        <v>0</v>
      </c>
      <c r="I826" s="9">
        <v>0</v>
      </c>
      <c r="J826" s="9">
        <v>0</v>
      </c>
    </row>
    <row r="827" spans="1:10">
      <c r="A827" s="8" t="s">
        <v>72</v>
      </c>
      <c r="B827" s="1" t="s">
        <v>505</v>
      </c>
      <c r="C827" s="1" t="s">
        <v>73</v>
      </c>
      <c r="D827" s="9">
        <f>D828</f>
        <v>1999.8</v>
      </c>
      <c r="E827" s="9">
        <f>E828</f>
        <v>0</v>
      </c>
      <c r="F827" s="9">
        <f t="shared" si="466"/>
        <v>0</v>
      </c>
      <c r="G827" s="9">
        <f t="shared" si="466"/>
        <v>0</v>
      </c>
      <c r="H827" s="9">
        <f>H828</f>
        <v>0</v>
      </c>
      <c r="I827" s="9">
        <v>0</v>
      </c>
      <c r="J827" s="9">
        <v>0</v>
      </c>
    </row>
    <row r="828" spans="1:10" ht="38.25">
      <c r="A828" s="8" t="s">
        <v>218</v>
      </c>
      <c r="B828" s="1" t="s">
        <v>505</v>
      </c>
      <c r="C828" s="1" t="s">
        <v>219</v>
      </c>
      <c r="D828" s="9">
        <f>ведомство!G1298</f>
        <v>1999.8</v>
      </c>
      <c r="E828" s="9">
        <f>ведомство!H1298</f>
        <v>0</v>
      </c>
      <c r="F828" s="9">
        <f>ведомство!I1298</f>
        <v>0</v>
      </c>
      <c r="G828" s="9">
        <f>ведомство!J1298</f>
        <v>0</v>
      </c>
      <c r="H828" s="9">
        <f>ведомство!K1298</f>
        <v>0</v>
      </c>
      <c r="I828" s="9">
        <v>0</v>
      </c>
      <c r="J828" s="9">
        <v>0</v>
      </c>
    </row>
    <row r="829" spans="1:10" s="42" customFormat="1" ht="38.25">
      <c r="A829" s="8" t="s">
        <v>1155</v>
      </c>
      <c r="B829" s="24" t="s">
        <v>1154</v>
      </c>
      <c r="C829" s="1"/>
      <c r="D829" s="9">
        <f>D830</f>
        <v>0</v>
      </c>
      <c r="E829" s="9">
        <f>E830</f>
        <v>2913.5</v>
      </c>
      <c r="F829" s="9">
        <f t="shared" ref="F829:G830" si="467">F830</f>
        <v>2630.8429999999998</v>
      </c>
      <c r="G829" s="9">
        <f t="shared" si="467"/>
        <v>2630.8429999999998</v>
      </c>
      <c r="H829" s="9">
        <f>H830</f>
        <v>2630.8429999999998</v>
      </c>
      <c r="I829" s="9">
        <f t="shared" ref="I829:I843" si="468">H829/E829*100</f>
        <v>90.298369658486351</v>
      </c>
      <c r="J829" s="9">
        <f t="shared" ref="J829:J846" si="469">H829/F829*100</f>
        <v>100</v>
      </c>
    </row>
    <row r="830" spans="1:10" s="42" customFormat="1">
      <c r="A830" s="8" t="s">
        <v>72</v>
      </c>
      <c r="B830" s="24" t="s">
        <v>1154</v>
      </c>
      <c r="C830" s="1" t="s">
        <v>73</v>
      </c>
      <c r="D830" s="9">
        <f>D831</f>
        <v>0</v>
      </c>
      <c r="E830" s="9">
        <f>E831</f>
        <v>2913.5</v>
      </c>
      <c r="F830" s="9">
        <f t="shared" si="467"/>
        <v>2630.8429999999998</v>
      </c>
      <c r="G830" s="9">
        <f t="shared" si="467"/>
        <v>2630.8429999999998</v>
      </c>
      <c r="H830" s="9">
        <f>H831</f>
        <v>2630.8429999999998</v>
      </c>
      <c r="I830" s="9">
        <f t="shared" si="468"/>
        <v>90.298369658486351</v>
      </c>
      <c r="J830" s="9">
        <f t="shared" si="469"/>
        <v>100</v>
      </c>
    </row>
    <row r="831" spans="1:10" s="42" customFormat="1" ht="38.25">
      <c r="A831" s="8" t="s">
        <v>218</v>
      </c>
      <c r="B831" s="24" t="s">
        <v>1154</v>
      </c>
      <c r="C831" s="1" t="s">
        <v>219</v>
      </c>
      <c r="D831" s="9">
        <f>ведомство!G1301</f>
        <v>0</v>
      </c>
      <c r="E831" s="9">
        <f>ведомство!H1301</f>
        <v>2913.5</v>
      </c>
      <c r="F831" s="9">
        <f>ведомство!I1301</f>
        <v>2630.8429999999998</v>
      </c>
      <c r="G831" s="9">
        <f>ведомство!J1301</f>
        <v>2630.8429999999998</v>
      </c>
      <c r="H831" s="9">
        <f>ведомство!K1301</f>
        <v>2630.8429999999998</v>
      </c>
      <c r="I831" s="9">
        <f t="shared" si="468"/>
        <v>90.298369658486351</v>
      </c>
      <c r="J831" s="9">
        <f t="shared" si="469"/>
        <v>100</v>
      </c>
    </row>
    <row r="832" spans="1:10" s="42" customFormat="1">
      <c r="A832" s="8" t="s">
        <v>1157</v>
      </c>
      <c r="B832" s="24" t="s">
        <v>1156</v>
      </c>
      <c r="C832" s="1"/>
      <c r="D832" s="9">
        <f>D833</f>
        <v>0</v>
      </c>
      <c r="E832" s="9">
        <f>E833</f>
        <v>35514</v>
      </c>
      <c r="F832" s="9">
        <f t="shared" ref="F832:G833" si="470">F833</f>
        <v>35514</v>
      </c>
      <c r="G832" s="9">
        <f t="shared" si="470"/>
        <v>35514</v>
      </c>
      <c r="H832" s="9">
        <f>H833</f>
        <v>35514</v>
      </c>
      <c r="I832" s="9">
        <f t="shared" si="468"/>
        <v>100</v>
      </c>
      <c r="J832" s="9">
        <f t="shared" si="469"/>
        <v>100</v>
      </c>
    </row>
    <row r="833" spans="1:10" s="42" customFormat="1">
      <c r="A833" s="8" t="s">
        <v>72</v>
      </c>
      <c r="B833" s="24" t="s">
        <v>1156</v>
      </c>
      <c r="C833" s="1" t="s">
        <v>73</v>
      </c>
      <c r="D833" s="9">
        <f>D834</f>
        <v>0</v>
      </c>
      <c r="E833" s="9">
        <f>E834</f>
        <v>35514</v>
      </c>
      <c r="F833" s="9">
        <f t="shared" si="470"/>
        <v>35514</v>
      </c>
      <c r="G833" s="9">
        <f t="shared" si="470"/>
        <v>35514</v>
      </c>
      <c r="H833" s="9">
        <f>H834</f>
        <v>35514</v>
      </c>
      <c r="I833" s="9">
        <f t="shared" si="468"/>
        <v>100</v>
      </c>
      <c r="J833" s="9">
        <f t="shared" si="469"/>
        <v>100</v>
      </c>
    </row>
    <row r="834" spans="1:10" s="42" customFormat="1" ht="38.25">
      <c r="A834" s="8" t="s">
        <v>218</v>
      </c>
      <c r="B834" s="24" t="s">
        <v>1156</v>
      </c>
      <c r="C834" s="1" t="s">
        <v>219</v>
      </c>
      <c r="D834" s="9">
        <f>ведомство!G1304</f>
        <v>0</v>
      </c>
      <c r="E834" s="9">
        <f>ведомство!H1304</f>
        <v>35514</v>
      </c>
      <c r="F834" s="9">
        <f>ведомство!I1304</f>
        <v>35514</v>
      </c>
      <c r="G834" s="9">
        <f>ведомство!J1304</f>
        <v>35514</v>
      </c>
      <c r="H834" s="9">
        <f>ведомство!K1304</f>
        <v>35514</v>
      </c>
      <c r="I834" s="9">
        <f t="shared" si="468"/>
        <v>100</v>
      </c>
      <c r="J834" s="9">
        <f t="shared" si="469"/>
        <v>100</v>
      </c>
    </row>
    <row r="835" spans="1:10" s="42" customFormat="1">
      <c r="A835" s="8" t="s">
        <v>1159</v>
      </c>
      <c r="B835" s="24" t="s">
        <v>1158</v>
      </c>
      <c r="C835" s="1"/>
      <c r="D835" s="9">
        <f>D836</f>
        <v>0</v>
      </c>
      <c r="E835" s="9">
        <f>E836</f>
        <v>27045</v>
      </c>
      <c r="F835" s="9">
        <f t="shared" ref="F835:G836" si="471">F836</f>
        <v>27045</v>
      </c>
      <c r="G835" s="9">
        <f t="shared" si="471"/>
        <v>27045</v>
      </c>
      <c r="H835" s="9">
        <f>H836</f>
        <v>27045</v>
      </c>
      <c r="I835" s="9">
        <f t="shared" si="468"/>
        <v>100</v>
      </c>
      <c r="J835" s="9">
        <f t="shared" si="469"/>
        <v>100</v>
      </c>
    </row>
    <row r="836" spans="1:10" s="42" customFormat="1">
      <c r="A836" s="8" t="s">
        <v>72</v>
      </c>
      <c r="B836" s="24" t="s">
        <v>1158</v>
      </c>
      <c r="C836" s="1" t="s">
        <v>73</v>
      </c>
      <c r="D836" s="9">
        <f>D837</f>
        <v>0</v>
      </c>
      <c r="E836" s="9">
        <f>E837</f>
        <v>27045</v>
      </c>
      <c r="F836" s="9">
        <f t="shared" si="471"/>
        <v>27045</v>
      </c>
      <c r="G836" s="9">
        <f t="shared" si="471"/>
        <v>27045</v>
      </c>
      <c r="H836" s="9">
        <f>H837</f>
        <v>27045</v>
      </c>
      <c r="I836" s="9">
        <f t="shared" si="468"/>
        <v>100</v>
      </c>
      <c r="J836" s="9">
        <f t="shared" si="469"/>
        <v>100</v>
      </c>
    </row>
    <row r="837" spans="1:10" s="42" customFormat="1" ht="38.25">
      <c r="A837" s="8" t="s">
        <v>218</v>
      </c>
      <c r="B837" s="24" t="s">
        <v>1158</v>
      </c>
      <c r="C837" s="1" t="s">
        <v>219</v>
      </c>
      <c r="D837" s="9">
        <f>ведомство!G1307</f>
        <v>0</v>
      </c>
      <c r="E837" s="9">
        <f>ведомство!H1307</f>
        <v>27045</v>
      </c>
      <c r="F837" s="9">
        <f>ведомство!I1307</f>
        <v>27045</v>
      </c>
      <c r="G837" s="9">
        <f>ведомство!J1307</f>
        <v>27045</v>
      </c>
      <c r="H837" s="9">
        <f>ведомство!K1307</f>
        <v>27045</v>
      </c>
      <c r="I837" s="9">
        <f t="shared" si="468"/>
        <v>100</v>
      </c>
      <c r="J837" s="9">
        <f t="shared" si="469"/>
        <v>100</v>
      </c>
    </row>
    <row r="838" spans="1:10" s="42" customFormat="1" ht="38.25">
      <c r="A838" s="8" t="s">
        <v>1162</v>
      </c>
      <c r="B838" s="24" t="s">
        <v>1160</v>
      </c>
      <c r="C838" s="1"/>
      <c r="D838" s="9">
        <f>D839</f>
        <v>0</v>
      </c>
      <c r="E838" s="9">
        <f>E839</f>
        <v>255.6</v>
      </c>
      <c r="F838" s="9">
        <f t="shared" ref="F838:G839" si="472">F839</f>
        <v>255.6</v>
      </c>
      <c r="G838" s="9">
        <f t="shared" si="472"/>
        <v>255.6</v>
      </c>
      <c r="H838" s="9">
        <f>H839</f>
        <v>255.6</v>
      </c>
      <c r="I838" s="9">
        <f t="shared" si="468"/>
        <v>100</v>
      </c>
      <c r="J838" s="9">
        <f t="shared" si="469"/>
        <v>100</v>
      </c>
    </row>
    <row r="839" spans="1:10" s="42" customFormat="1">
      <c r="A839" s="8" t="s">
        <v>72</v>
      </c>
      <c r="B839" s="24" t="s">
        <v>1160</v>
      </c>
      <c r="C839" s="1" t="s">
        <v>73</v>
      </c>
      <c r="D839" s="9">
        <f>D840</f>
        <v>0</v>
      </c>
      <c r="E839" s="9">
        <f>E840</f>
        <v>255.6</v>
      </c>
      <c r="F839" s="9">
        <f t="shared" si="472"/>
        <v>255.6</v>
      </c>
      <c r="G839" s="9">
        <f t="shared" si="472"/>
        <v>255.6</v>
      </c>
      <c r="H839" s="9">
        <f>H840</f>
        <v>255.6</v>
      </c>
      <c r="I839" s="9">
        <f t="shared" si="468"/>
        <v>100</v>
      </c>
      <c r="J839" s="9">
        <f t="shared" si="469"/>
        <v>100</v>
      </c>
    </row>
    <row r="840" spans="1:10" s="42" customFormat="1" ht="38.25">
      <c r="A840" s="8" t="s">
        <v>218</v>
      </c>
      <c r="B840" s="24" t="s">
        <v>1160</v>
      </c>
      <c r="C840" s="1" t="s">
        <v>219</v>
      </c>
      <c r="D840" s="9">
        <f>ведомство!G1310</f>
        <v>0</v>
      </c>
      <c r="E840" s="9">
        <f>ведомство!H1310</f>
        <v>255.6</v>
      </c>
      <c r="F840" s="9">
        <f>ведомство!I1310</f>
        <v>255.6</v>
      </c>
      <c r="G840" s="9">
        <f>ведомство!J1310</f>
        <v>255.6</v>
      </c>
      <c r="H840" s="9">
        <f>ведомство!K1310</f>
        <v>255.6</v>
      </c>
      <c r="I840" s="9">
        <f t="shared" si="468"/>
        <v>100</v>
      </c>
      <c r="J840" s="9">
        <f t="shared" si="469"/>
        <v>100</v>
      </c>
    </row>
    <row r="841" spans="1:10" s="42" customFormat="1" ht="25.5">
      <c r="A841" s="8" t="s">
        <v>1163</v>
      </c>
      <c r="B841" s="24" t="s">
        <v>1161</v>
      </c>
      <c r="C841" s="1"/>
      <c r="D841" s="9">
        <f>D842</f>
        <v>0</v>
      </c>
      <c r="E841" s="9">
        <f>E842</f>
        <v>35592</v>
      </c>
      <c r="F841" s="9">
        <f t="shared" ref="F841:G842" si="473">F842</f>
        <v>19114.608</v>
      </c>
      <c r="G841" s="9">
        <f t="shared" si="473"/>
        <v>19114.608</v>
      </c>
      <c r="H841" s="9">
        <f>H842</f>
        <v>19114.608</v>
      </c>
      <c r="I841" s="9">
        <f t="shared" si="468"/>
        <v>53.704787592717466</v>
      </c>
      <c r="J841" s="9">
        <f t="shared" si="469"/>
        <v>100</v>
      </c>
    </row>
    <row r="842" spans="1:10" s="42" customFormat="1">
      <c r="A842" s="8" t="s">
        <v>72</v>
      </c>
      <c r="B842" s="24" t="s">
        <v>1161</v>
      </c>
      <c r="C842" s="1" t="s">
        <v>73</v>
      </c>
      <c r="D842" s="9">
        <f>D843</f>
        <v>0</v>
      </c>
      <c r="E842" s="9">
        <f>E843</f>
        <v>35592</v>
      </c>
      <c r="F842" s="9">
        <f t="shared" si="473"/>
        <v>19114.608</v>
      </c>
      <c r="G842" s="9">
        <f t="shared" si="473"/>
        <v>19114.608</v>
      </c>
      <c r="H842" s="9">
        <f>H843</f>
        <v>19114.608</v>
      </c>
      <c r="I842" s="9">
        <f t="shared" si="468"/>
        <v>53.704787592717466</v>
      </c>
      <c r="J842" s="9">
        <f t="shared" si="469"/>
        <v>100</v>
      </c>
    </row>
    <row r="843" spans="1:10" s="42" customFormat="1" ht="38.25">
      <c r="A843" s="8" t="s">
        <v>218</v>
      </c>
      <c r="B843" s="24" t="s">
        <v>1161</v>
      </c>
      <c r="C843" s="1" t="s">
        <v>219</v>
      </c>
      <c r="D843" s="9">
        <f>ведомство!G1313</f>
        <v>0</v>
      </c>
      <c r="E843" s="9">
        <f>ведомство!H1313</f>
        <v>35592</v>
      </c>
      <c r="F843" s="9">
        <f>ведомство!I1313</f>
        <v>19114.608</v>
      </c>
      <c r="G843" s="9">
        <f>ведомство!J1313</f>
        <v>19114.608</v>
      </c>
      <c r="H843" s="9">
        <f>ведомство!K1313</f>
        <v>19114.608</v>
      </c>
      <c r="I843" s="9">
        <f t="shared" si="468"/>
        <v>53.704787592717466</v>
      </c>
      <c r="J843" s="9">
        <f t="shared" si="469"/>
        <v>100</v>
      </c>
    </row>
    <row r="844" spans="1:10" ht="38.25">
      <c r="A844" s="8" t="s">
        <v>506</v>
      </c>
      <c r="B844" s="1" t="s">
        <v>507</v>
      </c>
      <c r="C844" s="1" t="s">
        <v>0</v>
      </c>
      <c r="D844" s="9">
        <f>D845</f>
        <v>2032.2</v>
      </c>
      <c r="E844" s="9">
        <f>E845</f>
        <v>1829</v>
      </c>
      <c r="F844" s="9">
        <f t="shared" ref="F844:G845" si="474">F845</f>
        <v>1829</v>
      </c>
      <c r="G844" s="9">
        <f t="shared" si="474"/>
        <v>1829</v>
      </c>
      <c r="H844" s="9">
        <f>H845</f>
        <v>1829</v>
      </c>
      <c r="I844" s="9">
        <f t="shared" si="460"/>
        <v>100</v>
      </c>
      <c r="J844" s="9">
        <f t="shared" si="469"/>
        <v>100</v>
      </c>
    </row>
    <row r="845" spans="1:10">
      <c r="A845" s="8" t="s">
        <v>72</v>
      </c>
      <c r="B845" s="1" t="s">
        <v>507</v>
      </c>
      <c r="C845" s="1" t="s">
        <v>73</v>
      </c>
      <c r="D845" s="9">
        <f>D846</f>
        <v>2032.2</v>
      </c>
      <c r="E845" s="9">
        <f>E846</f>
        <v>1829</v>
      </c>
      <c r="F845" s="9">
        <f t="shared" si="474"/>
        <v>1829</v>
      </c>
      <c r="G845" s="9">
        <f t="shared" si="474"/>
        <v>1829</v>
      </c>
      <c r="H845" s="9">
        <f>H846</f>
        <v>1829</v>
      </c>
      <c r="I845" s="9">
        <f t="shared" si="460"/>
        <v>100</v>
      </c>
      <c r="J845" s="9">
        <f t="shared" si="469"/>
        <v>100</v>
      </c>
    </row>
    <row r="846" spans="1:10" ht="38.25">
      <c r="A846" s="8" t="s">
        <v>218</v>
      </c>
      <c r="B846" s="1" t="s">
        <v>507</v>
      </c>
      <c r="C846" s="1" t="s">
        <v>219</v>
      </c>
      <c r="D846" s="9">
        <f>ведомство!G1316</f>
        <v>2032.2</v>
      </c>
      <c r="E846" s="9">
        <f>ведомство!H1316</f>
        <v>1829</v>
      </c>
      <c r="F846" s="9">
        <f>ведомство!I1316</f>
        <v>1829</v>
      </c>
      <c r="G846" s="9">
        <f>ведомство!J1316</f>
        <v>1829</v>
      </c>
      <c r="H846" s="9">
        <f>ведомство!K1316</f>
        <v>1829</v>
      </c>
      <c r="I846" s="9">
        <f t="shared" si="460"/>
        <v>100</v>
      </c>
      <c r="J846" s="9">
        <f t="shared" si="469"/>
        <v>100</v>
      </c>
    </row>
    <row r="847" spans="1:10" s="42" customFormat="1" ht="51">
      <c r="A847" s="8" t="s">
        <v>1165</v>
      </c>
      <c r="B847" s="24" t="s">
        <v>1164</v>
      </c>
      <c r="C847" s="1"/>
      <c r="D847" s="9">
        <f>D848</f>
        <v>0</v>
      </c>
      <c r="E847" s="9">
        <f>E848</f>
        <v>28013.1</v>
      </c>
      <c r="F847" s="9">
        <f t="shared" ref="F847:G848" si="475">F848</f>
        <v>20783.330999999998</v>
      </c>
      <c r="G847" s="9">
        <f t="shared" si="475"/>
        <v>20783.330999999998</v>
      </c>
      <c r="H847" s="9">
        <f>H848</f>
        <v>20783.330999999998</v>
      </c>
      <c r="I847" s="9">
        <f t="shared" ref="I847:I855" si="476">H847/E847*100</f>
        <v>74.191471133148411</v>
      </c>
      <c r="J847" s="9">
        <f t="shared" ref="J847:J855" si="477">H847/F847*100</f>
        <v>100</v>
      </c>
    </row>
    <row r="848" spans="1:10" s="42" customFormat="1">
      <c r="A848" s="8" t="s">
        <v>72</v>
      </c>
      <c r="B848" s="24" t="s">
        <v>1164</v>
      </c>
      <c r="C848" s="1" t="s">
        <v>73</v>
      </c>
      <c r="D848" s="9">
        <f>D849</f>
        <v>0</v>
      </c>
      <c r="E848" s="9">
        <f>E849</f>
        <v>28013.1</v>
      </c>
      <c r="F848" s="9">
        <f t="shared" si="475"/>
        <v>20783.330999999998</v>
      </c>
      <c r="G848" s="9">
        <f t="shared" si="475"/>
        <v>20783.330999999998</v>
      </c>
      <c r="H848" s="9">
        <f>H849</f>
        <v>20783.330999999998</v>
      </c>
      <c r="I848" s="9">
        <f t="shared" si="476"/>
        <v>74.191471133148411</v>
      </c>
      <c r="J848" s="9">
        <f t="shared" si="477"/>
        <v>100</v>
      </c>
    </row>
    <row r="849" spans="1:10" s="42" customFormat="1" ht="38.25">
      <c r="A849" s="8" t="s">
        <v>218</v>
      </c>
      <c r="B849" s="24" t="s">
        <v>1164</v>
      </c>
      <c r="C849" s="1" t="s">
        <v>219</v>
      </c>
      <c r="D849" s="9">
        <f>ведомство!G1319</f>
        <v>0</v>
      </c>
      <c r="E849" s="9">
        <f>ведомство!H1319</f>
        <v>28013.1</v>
      </c>
      <c r="F849" s="9">
        <f>ведомство!I1319</f>
        <v>20783.330999999998</v>
      </c>
      <c r="G849" s="9">
        <f>ведомство!J1319</f>
        <v>20783.330999999998</v>
      </c>
      <c r="H849" s="9">
        <f>ведомство!K1319</f>
        <v>20783.330999999998</v>
      </c>
      <c r="I849" s="9">
        <f t="shared" si="476"/>
        <v>74.191471133148411</v>
      </c>
      <c r="J849" s="9">
        <f t="shared" si="477"/>
        <v>100</v>
      </c>
    </row>
    <row r="850" spans="1:10" s="42" customFormat="1" ht="25.5">
      <c r="A850" s="8" t="s">
        <v>1168</v>
      </c>
      <c r="B850" s="24" t="s">
        <v>1166</v>
      </c>
      <c r="C850" s="1"/>
      <c r="D850" s="9">
        <f>D851</f>
        <v>0</v>
      </c>
      <c r="E850" s="9">
        <f>E851</f>
        <v>2764.2</v>
      </c>
      <c r="F850" s="9">
        <f t="shared" ref="F850:G851" si="478">F851</f>
        <v>1590.05</v>
      </c>
      <c r="G850" s="9">
        <f t="shared" si="478"/>
        <v>1590.05</v>
      </c>
      <c r="H850" s="9">
        <f>H851</f>
        <v>1590.05</v>
      </c>
      <c r="I850" s="9">
        <f t="shared" si="476"/>
        <v>57.522972288546413</v>
      </c>
      <c r="J850" s="9">
        <f t="shared" si="477"/>
        <v>100</v>
      </c>
    </row>
    <row r="851" spans="1:10" s="42" customFormat="1">
      <c r="A851" s="8" t="s">
        <v>72</v>
      </c>
      <c r="B851" s="24" t="s">
        <v>1166</v>
      </c>
      <c r="C851" s="1" t="s">
        <v>73</v>
      </c>
      <c r="D851" s="9">
        <f>D852</f>
        <v>0</v>
      </c>
      <c r="E851" s="9">
        <f>E852</f>
        <v>2764.2</v>
      </c>
      <c r="F851" s="9">
        <f t="shared" si="478"/>
        <v>1590.05</v>
      </c>
      <c r="G851" s="9">
        <f t="shared" si="478"/>
        <v>1590.05</v>
      </c>
      <c r="H851" s="9">
        <f>H852</f>
        <v>1590.05</v>
      </c>
      <c r="I851" s="9">
        <f t="shared" si="476"/>
        <v>57.522972288546413</v>
      </c>
      <c r="J851" s="9">
        <f t="shared" si="477"/>
        <v>100</v>
      </c>
    </row>
    <row r="852" spans="1:10" s="42" customFormat="1" ht="38.25">
      <c r="A852" s="8" t="s">
        <v>218</v>
      </c>
      <c r="B852" s="24" t="s">
        <v>1166</v>
      </c>
      <c r="C852" s="1" t="s">
        <v>219</v>
      </c>
      <c r="D852" s="9">
        <f>ведомство!G1322</f>
        <v>0</v>
      </c>
      <c r="E852" s="9">
        <f>ведомство!H1322</f>
        <v>2764.2</v>
      </c>
      <c r="F852" s="9">
        <f>ведомство!I1322</f>
        <v>1590.05</v>
      </c>
      <c r="G852" s="9">
        <f>ведомство!J1322</f>
        <v>1590.05</v>
      </c>
      <c r="H852" s="9">
        <f>ведомство!K1322</f>
        <v>1590.05</v>
      </c>
      <c r="I852" s="9">
        <f t="shared" si="476"/>
        <v>57.522972288546413</v>
      </c>
      <c r="J852" s="9">
        <f t="shared" si="477"/>
        <v>100</v>
      </c>
    </row>
    <row r="853" spans="1:10" s="42" customFormat="1" ht="38.25">
      <c r="A853" s="8" t="s">
        <v>1169</v>
      </c>
      <c r="B853" s="24" t="s">
        <v>1167</v>
      </c>
      <c r="C853" s="1"/>
      <c r="D853" s="9">
        <f>D854</f>
        <v>0</v>
      </c>
      <c r="E853" s="9">
        <f>E854</f>
        <v>22555</v>
      </c>
      <c r="F853" s="9">
        <f t="shared" ref="F853:G854" si="479">F854</f>
        <v>19978.722709999998</v>
      </c>
      <c r="G853" s="9">
        <f t="shared" si="479"/>
        <v>19978.722709999998</v>
      </c>
      <c r="H853" s="9">
        <f>H854</f>
        <v>19978.722709999998</v>
      </c>
      <c r="I853" s="9">
        <f t="shared" si="476"/>
        <v>88.577799645311444</v>
      </c>
      <c r="J853" s="9">
        <f t="shared" si="477"/>
        <v>100</v>
      </c>
    </row>
    <row r="854" spans="1:10" s="42" customFormat="1">
      <c r="A854" s="8" t="s">
        <v>72</v>
      </c>
      <c r="B854" s="24" t="s">
        <v>1167</v>
      </c>
      <c r="C854" s="1" t="s">
        <v>73</v>
      </c>
      <c r="D854" s="9">
        <f>D855</f>
        <v>0</v>
      </c>
      <c r="E854" s="9">
        <f>E855</f>
        <v>22555</v>
      </c>
      <c r="F854" s="9">
        <f t="shared" si="479"/>
        <v>19978.722709999998</v>
      </c>
      <c r="G854" s="9">
        <f t="shared" si="479"/>
        <v>19978.722709999998</v>
      </c>
      <c r="H854" s="9">
        <f>H855</f>
        <v>19978.722709999998</v>
      </c>
      <c r="I854" s="9">
        <f t="shared" si="476"/>
        <v>88.577799645311444</v>
      </c>
      <c r="J854" s="9">
        <f t="shared" si="477"/>
        <v>100</v>
      </c>
    </row>
    <row r="855" spans="1:10" s="42" customFormat="1" ht="38.25">
      <c r="A855" s="8" t="s">
        <v>218</v>
      </c>
      <c r="B855" s="24" t="s">
        <v>1167</v>
      </c>
      <c r="C855" s="1" t="s">
        <v>219</v>
      </c>
      <c r="D855" s="9">
        <f>ведомство!G1325</f>
        <v>0</v>
      </c>
      <c r="E855" s="9">
        <f>ведомство!H1325</f>
        <v>22555</v>
      </c>
      <c r="F855" s="9">
        <f>ведомство!I1325</f>
        <v>19978.722709999998</v>
      </c>
      <c r="G855" s="9">
        <f>ведомство!J1325</f>
        <v>19978.722709999998</v>
      </c>
      <c r="H855" s="9">
        <f>ведомство!K1325</f>
        <v>19978.722709999998</v>
      </c>
      <c r="I855" s="9">
        <f t="shared" si="476"/>
        <v>88.577799645311444</v>
      </c>
      <c r="J855" s="9">
        <f t="shared" si="477"/>
        <v>100</v>
      </c>
    </row>
    <row r="856" spans="1:10" ht="25.5">
      <c r="A856" s="8" t="s">
        <v>508</v>
      </c>
      <c r="B856" s="1" t="s">
        <v>509</v>
      </c>
      <c r="C856" s="1" t="s">
        <v>0</v>
      </c>
      <c r="D856" s="9">
        <f>D857</f>
        <v>29860.3</v>
      </c>
      <c r="E856" s="9">
        <f>E857</f>
        <v>27012</v>
      </c>
      <c r="F856" s="9">
        <f t="shared" ref="F856:G857" si="480">F857</f>
        <v>25818.41</v>
      </c>
      <c r="G856" s="9">
        <f t="shared" si="480"/>
        <v>25818.41</v>
      </c>
      <c r="H856" s="9">
        <f>H857</f>
        <v>25818.41</v>
      </c>
      <c r="I856" s="9">
        <f t="shared" si="460"/>
        <v>95.58126018066045</v>
      </c>
      <c r="J856" s="9">
        <f t="shared" si="461"/>
        <v>100</v>
      </c>
    </row>
    <row r="857" spans="1:10">
      <c r="A857" s="8" t="s">
        <v>72</v>
      </c>
      <c r="B857" s="1" t="s">
        <v>509</v>
      </c>
      <c r="C857" s="1" t="s">
        <v>73</v>
      </c>
      <c r="D857" s="9">
        <f>D858</f>
        <v>29860.3</v>
      </c>
      <c r="E857" s="9">
        <f>E858</f>
        <v>27012</v>
      </c>
      <c r="F857" s="9">
        <f t="shared" si="480"/>
        <v>25818.41</v>
      </c>
      <c r="G857" s="9">
        <f t="shared" si="480"/>
        <v>25818.41</v>
      </c>
      <c r="H857" s="9">
        <f>H858</f>
        <v>25818.41</v>
      </c>
      <c r="I857" s="9">
        <f t="shared" si="460"/>
        <v>95.58126018066045</v>
      </c>
      <c r="J857" s="9">
        <f t="shared" si="461"/>
        <v>100</v>
      </c>
    </row>
    <row r="858" spans="1:10" ht="38.25">
      <c r="A858" s="8" t="s">
        <v>218</v>
      </c>
      <c r="B858" s="1" t="s">
        <v>509</v>
      </c>
      <c r="C858" s="1" t="s">
        <v>219</v>
      </c>
      <c r="D858" s="9">
        <f>ведомство!G1328</f>
        <v>29860.3</v>
      </c>
      <c r="E858" s="9">
        <f>ведомство!H1328</f>
        <v>27012</v>
      </c>
      <c r="F858" s="9">
        <f>ведомство!I1328</f>
        <v>25818.41</v>
      </c>
      <c r="G858" s="9">
        <f>ведомство!J1328</f>
        <v>25818.41</v>
      </c>
      <c r="H858" s="9">
        <f>ведомство!K1328</f>
        <v>25818.41</v>
      </c>
      <c r="I858" s="9">
        <f t="shared" si="460"/>
        <v>95.58126018066045</v>
      </c>
      <c r="J858" s="9">
        <f t="shared" si="461"/>
        <v>100</v>
      </c>
    </row>
    <row r="859" spans="1:10" s="42" customFormat="1" ht="51">
      <c r="A859" s="8" t="s">
        <v>1171</v>
      </c>
      <c r="B859" s="24" t="s">
        <v>1170</v>
      </c>
      <c r="C859" s="6" t="s">
        <v>0</v>
      </c>
      <c r="D859" s="9">
        <f>D860</f>
        <v>0</v>
      </c>
      <c r="E859" s="9">
        <f>E860</f>
        <v>5510.5</v>
      </c>
      <c r="F859" s="9">
        <f t="shared" ref="F859:G860" si="481">F860</f>
        <v>3117.569</v>
      </c>
      <c r="G859" s="9">
        <f t="shared" si="481"/>
        <v>3117.569</v>
      </c>
      <c r="H859" s="9">
        <f>H860</f>
        <v>3117.569</v>
      </c>
      <c r="I859" s="9">
        <f t="shared" ref="I859:I864" si="482">H859/E859*100</f>
        <v>56.575065783504222</v>
      </c>
      <c r="J859" s="9">
        <f t="shared" ref="J859:J864" si="483">H859/F859*100</f>
        <v>100</v>
      </c>
    </row>
    <row r="860" spans="1:10" s="42" customFormat="1">
      <c r="A860" s="8" t="s">
        <v>72</v>
      </c>
      <c r="B860" s="24" t="s">
        <v>1170</v>
      </c>
      <c r="C860" s="1" t="s">
        <v>73</v>
      </c>
      <c r="D860" s="9">
        <f>D861</f>
        <v>0</v>
      </c>
      <c r="E860" s="9">
        <f>E861</f>
        <v>5510.5</v>
      </c>
      <c r="F860" s="9">
        <f t="shared" si="481"/>
        <v>3117.569</v>
      </c>
      <c r="G860" s="9">
        <f t="shared" si="481"/>
        <v>3117.569</v>
      </c>
      <c r="H860" s="9">
        <f>H861</f>
        <v>3117.569</v>
      </c>
      <c r="I860" s="9">
        <f t="shared" si="482"/>
        <v>56.575065783504222</v>
      </c>
      <c r="J860" s="9">
        <f t="shared" si="483"/>
        <v>100</v>
      </c>
    </row>
    <row r="861" spans="1:10" s="42" customFormat="1" ht="38.25">
      <c r="A861" s="8" t="s">
        <v>218</v>
      </c>
      <c r="B861" s="24" t="s">
        <v>1170</v>
      </c>
      <c r="C861" s="1" t="s">
        <v>219</v>
      </c>
      <c r="D861" s="9">
        <f>ведомство!G1331</f>
        <v>0</v>
      </c>
      <c r="E861" s="9">
        <f>ведомство!H1331</f>
        <v>5510.5</v>
      </c>
      <c r="F861" s="9">
        <f>ведомство!I1331</f>
        <v>3117.569</v>
      </c>
      <c r="G861" s="9">
        <f>ведомство!J1331</f>
        <v>3117.569</v>
      </c>
      <c r="H861" s="9">
        <f>ведомство!K1331</f>
        <v>3117.569</v>
      </c>
      <c r="I861" s="9">
        <f t="shared" si="482"/>
        <v>56.575065783504222</v>
      </c>
      <c r="J861" s="9">
        <f t="shared" si="483"/>
        <v>100</v>
      </c>
    </row>
    <row r="862" spans="1:10" s="42" customFormat="1" ht="63.75">
      <c r="A862" s="8" t="s">
        <v>1173</v>
      </c>
      <c r="B862" s="24" t="s">
        <v>1172</v>
      </c>
      <c r="C862" s="1"/>
      <c r="D862" s="9">
        <f>D863</f>
        <v>0</v>
      </c>
      <c r="E862" s="9">
        <f>E863</f>
        <v>5693.92</v>
      </c>
      <c r="F862" s="9">
        <f t="shared" ref="F862:G863" si="484">F863</f>
        <v>5693.92</v>
      </c>
      <c r="G862" s="9">
        <f t="shared" si="484"/>
        <v>5693.92</v>
      </c>
      <c r="H862" s="9">
        <f>H863</f>
        <v>5693.92</v>
      </c>
      <c r="I862" s="9">
        <f t="shared" si="482"/>
        <v>100</v>
      </c>
      <c r="J862" s="9">
        <f t="shared" si="483"/>
        <v>100</v>
      </c>
    </row>
    <row r="863" spans="1:10" s="42" customFormat="1">
      <c r="A863" s="8" t="s">
        <v>72</v>
      </c>
      <c r="B863" s="24" t="s">
        <v>1172</v>
      </c>
      <c r="C863" s="1">
        <v>800</v>
      </c>
      <c r="D863" s="9">
        <f>D864</f>
        <v>0</v>
      </c>
      <c r="E863" s="9">
        <f>E864</f>
        <v>5693.92</v>
      </c>
      <c r="F863" s="9">
        <f t="shared" si="484"/>
        <v>5693.92</v>
      </c>
      <c r="G863" s="9">
        <f t="shared" si="484"/>
        <v>5693.92</v>
      </c>
      <c r="H863" s="9">
        <f>H864</f>
        <v>5693.92</v>
      </c>
      <c r="I863" s="9">
        <f t="shared" si="482"/>
        <v>100</v>
      </c>
      <c r="J863" s="9">
        <f t="shared" si="483"/>
        <v>100</v>
      </c>
    </row>
    <row r="864" spans="1:10" s="42" customFormat="1">
      <c r="A864" s="8" t="s">
        <v>74</v>
      </c>
      <c r="B864" s="24" t="s">
        <v>1172</v>
      </c>
      <c r="C864" s="1">
        <v>850</v>
      </c>
      <c r="D864" s="9">
        <f>ведомство!G1334</f>
        <v>0</v>
      </c>
      <c r="E864" s="9">
        <f>ведомство!H1334</f>
        <v>5693.92</v>
      </c>
      <c r="F864" s="9">
        <f>ведомство!I1334</f>
        <v>5693.92</v>
      </c>
      <c r="G864" s="9">
        <f>ведомство!J1334</f>
        <v>5693.92</v>
      </c>
      <c r="H864" s="9">
        <f>ведомство!K1334</f>
        <v>5693.92</v>
      </c>
      <c r="I864" s="9">
        <f t="shared" si="482"/>
        <v>100</v>
      </c>
      <c r="J864" s="9">
        <f t="shared" si="483"/>
        <v>100</v>
      </c>
    </row>
    <row r="865" spans="1:10">
      <c r="A865" s="8" t="s">
        <v>510</v>
      </c>
      <c r="B865" s="1" t="s">
        <v>511</v>
      </c>
      <c r="C865" s="1" t="s">
        <v>0</v>
      </c>
      <c r="D865" s="9">
        <f>D866</f>
        <v>12000</v>
      </c>
      <c r="E865" s="9">
        <f>E866</f>
        <v>12000</v>
      </c>
      <c r="F865" s="9">
        <f t="shared" ref="F865:G866" si="485">F866</f>
        <v>12000</v>
      </c>
      <c r="G865" s="9">
        <f t="shared" si="485"/>
        <v>12000</v>
      </c>
      <c r="H865" s="9">
        <f>H866</f>
        <v>12000</v>
      </c>
      <c r="I865" s="9">
        <f t="shared" si="460"/>
        <v>100</v>
      </c>
      <c r="J865" s="9">
        <f t="shared" si="461"/>
        <v>100</v>
      </c>
    </row>
    <row r="866" spans="1:10">
      <c r="A866" s="8" t="s">
        <v>72</v>
      </c>
      <c r="B866" s="1" t="s">
        <v>511</v>
      </c>
      <c r="C866" s="1" t="s">
        <v>73</v>
      </c>
      <c r="D866" s="9">
        <f>D867</f>
        <v>12000</v>
      </c>
      <c r="E866" s="9">
        <f>E867</f>
        <v>12000</v>
      </c>
      <c r="F866" s="9">
        <f t="shared" si="485"/>
        <v>12000</v>
      </c>
      <c r="G866" s="9">
        <f t="shared" si="485"/>
        <v>12000</v>
      </c>
      <c r="H866" s="9">
        <f>H867</f>
        <v>12000</v>
      </c>
      <c r="I866" s="9">
        <f t="shared" si="460"/>
        <v>100</v>
      </c>
      <c r="J866" s="9">
        <f t="shared" si="461"/>
        <v>100</v>
      </c>
    </row>
    <row r="867" spans="1:10" ht="38.25">
      <c r="A867" s="8" t="s">
        <v>218</v>
      </c>
      <c r="B867" s="1" t="s">
        <v>511</v>
      </c>
      <c r="C867" s="1" t="s">
        <v>219</v>
      </c>
      <c r="D867" s="9">
        <f>ведомство!G1337</f>
        <v>12000</v>
      </c>
      <c r="E867" s="9">
        <f>ведомство!H1337</f>
        <v>12000</v>
      </c>
      <c r="F867" s="9">
        <f>ведомство!I1337</f>
        <v>12000</v>
      </c>
      <c r="G867" s="9">
        <f>ведомство!J1337</f>
        <v>12000</v>
      </c>
      <c r="H867" s="9">
        <f>ведомство!K1337</f>
        <v>12000</v>
      </c>
      <c r="I867" s="9">
        <f t="shared" si="460"/>
        <v>100</v>
      </c>
      <c r="J867" s="9">
        <f t="shared" si="461"/>
        <v>100</v>
      </c>
    </row>
    <row r="868" spans="1:10">
      <c r="A868" s="8" t="s">
        <v>512</v>
      </c>
      <c r="B868" s="1" t="s">
        <v>513</v>
      </c>
      <c r="C868" s="1" t="s">
        <v>0</v>
      </c>
      <c r="D868" s="9">
        <f>D869+D871</f>
        <v>5859.2</v>
      </c>
      <c r="E868" s="9">
        <f>E869+E871</f>
        <v>5859.2</v>
      </c>
      <c r="F868" s="9">
        <f t="shared" ref="F868:G868" si="486">F869+F871</f>
        <v>3647.23081</v>
      </c>
      <c r="G868" s="9">
        <f t="shared" si="486"/>
        <v>3591.1103300000004</v>
      </c>
      <c r="H868" s="9">
        <f>H869+H871</f>
        <v>3591.1103300000004</v>
      </c>
      <c r="I868" s="9">
        <f t="shared" si="460"/>
        <v>61.290113496723109</v>
      </c>
      <c r="J868" s="9">
        <f t="shared" si="461"/>
        <v>98.461285207228229</v>
      </c>
    </row>
    <row r="869" spans="1:10" ht="25.5">
      <c r="A869" s="8" t="s">
        <v>64</v>
      </c>
      <c r="B869" s="1" t="s">
        <v>513</v>
      </c>
      <c r="C869" s="1" t="s">
        <v>65</v>
      </c>
      <c r="D869" s="9">
        <f>D870</f>
        <v>1700</v>
      </c>
      <c r="E869" s="9">
        <f>E870</f>
        <v>1700</v>
      </c>
      <c r="F869" s="9">
        <f t="shared" ref="F869:G869" si="487">F870</f>
        <v>1262.6780000000001</v>
      </c>
      <c r="G869" s="9">
        <f t="shared" si="487"/>
        <v>1262.6780000000001</v>
      </c>
      <c r="H869" s="9">
        <f>H870</f>
        <v>1262.6780000000001</v>
      </c>
      <c r="I869" s="9">
        <f t="shared" si="460"/>
        <v>74.275176470588249</v>
      </c>
      <c r="J869" s="9">
        <f t="shared" si="461"/>
        <v>100</v>
      </c>
    </row>
    <row r="870" spans="1:10" ht="25.5">
      <c r="A870" s="8" t="s">
        <v>66</v>
      </c>
      <c r="B870" s="1" t="s">
        <v>513</v>
      </c>
      <c r="C870" s="1" t="s">
        <v>67</v>
      </c>
      <c r="D870" s="9">
        <f>ведомство!G1340</f>
        <v>1700</v>
      </c>
      <c r="E870" s="9">
        <f>ведомство!H1340</f>
        <v>1700</v>
      </c>
      <c r="F870" s="9">
        <f>ведомство!I1340</f>
        <v>1262.6780000000001</v>
      </c>
      <c r="G870" s="9">
        <f>ведомство!J1340</f>
        <v>1262.6780000000001</v>
      </c>
      <c r="H870" s="9">
        <f>ведомство!K1340</f>
        <v>1262.6780000000001</v>
      </c>
      <c r="I870" s="9">
        <f t="shared" si="460"/>
        <v>74.275176470588249</v>
      </c>
      <c r="J870" s="9">
        <f t="shared" si="461"/>
        <v>100</v>
      </c>
    </row>
    <row r="871" spans="1:10">
      <c r="A871" s="8" t="s">
        <v>72</v>
      </c>
      <c r="B871" s="1" t="s">
        <v>513</v>
      </c>
      <c r="C871" s="1" t="s">
        <v>73</v>
      </c>
      <c r="D871" s="9">
        <f>D872</f>
        <v>4159.2</v>
      </c>
      <c r="E871" s="9">
        <f>E872</f>
        <v>4159.2</v>
      </c>
      <c r="F871" s="9">
        <f t="shared" ref="F871:G871" si="488">F872</f>
        <v>2384.5528100000001</v>
      </c>
      <c r="G871" s="9">
        <f t="shared" si="488"/>
        <v>2328.4323300000001</v>
      </c>
      <c r="H871" s="9">
        <f>H872</f>
        <v>2328.4323300000001</v>
      </c>
      <c r="I871" s="9">
        <f t="shared" si="460"/>
        <v>55.982696912867866</v>
      </c>
      <c r="J871" s="9">
        <f t="shared" si="461"/>
        <v>97.646498757978861</v>
      </c>
    </row>
    <row r="872" spans="1:10" ht="38.25">
      <c r="A872" s="8" t="s">
        <v>218</v>
      </c>
      <c r="B872" s="1" t="s">
        <v>513</v>
      </c>
      <c r="C872" s="1" t="s">
        <v>219</v>
      </c>
      <c r="D872" s="9">
        <f>ведомство!G1342</f>
        <v>4159.2</v>
      </c>
      <c r="E872" s="9">
        <f>ведомство!H1342</f>
        <v>4159.2</v>
      </c>
      <c r="F872" s="9">
        <f>ведомство!I1342</f>
        <v>2384.5528100000001</v>
      </c>
      <c r="G872" s="9">
        <f>ведомство!J1342</f>
        <v>2328.4323300000001</v>
      </c>
      <c r="H872" s="9">
        <f>ведомство!K1342</f>
        <v>2328.4323300000001</v>
      </c>
      <c r="I872" s="9">
        <f t="shared" si="460"/>
        <v>55.982696912867866</v>
      </c>
      <c r="J872" s="9">
        <f t="shared" si="461"/>
        <v>97.646498757978861</v>
      </c>
    </row>
    <row r="873" spans="1:10">
      <c r="A873" s="8" t="s">
        <v>514</v>
      </c>
      <c r="B873" s="1" t="s">
        <v>515</v>
      </c>
      <c r="C873" s="1" t="s">
        <v>0</v>
      </c>
      <c r="D873" s="9">
        <f>D874</f>
        <v>5000</v>
      </c>
      <c r="E873" s="9">
        <f>E874</f>
        <v>5000</v>
      </c>
      <c r="F873" s="9">
        <f t="shared" ref="F873:G874" si="489">F874</f>
        <v>482.04820999999998</v>
      </c>
      <c r="G873" s="9">
        <f t="shared" si="489"/>
        <v>482.04820999999998</v>
      </c>
      <c r="H873" s="9">
        <f>H874</f>
        <v>482.04820999999998</v>
      </c>
      <c r="I873" s="9">
        <f t="shared" si="460"/>
        <v>9.6409641999999991</v>
      </c>
      <c r="J873" s="9">
        <f t="shared" si="461"/>
        <v>100</v>
      </c>
    </row>
    <row r="874" spans="1:10">
      <c r="A874" s="8" t="s">
        <v>72</v>
      </c>
      <c r="B874" s="1" t="s">
        <v>515</v>
      </c>
      <c r="C874" s="1" t="s">
        <v>73</v>
      </c>
      <c r="D874" s="9">
        <f>D875</f>
        <v>5000</v>
      </c>
      <c r="E874" s="9">
        <f>E875</f>
        <v>5000</v>
      </c>
      <c r="F874" s="9">
        <f t="shared" si="489"/>
        <v>482.04820999999998</v>
      </c>
      <c r="G874" s="9">
        <f t="shared" si="489"/>
        <v>482.04820999999998</v>
      </c>
      <c r="H874" s="9">
        <f>H875</f>
        <v>482.04820999999998</v>
      </c>
      <c r="I874" s="9">
        <f t="shared" si="460"/>
        <v>9.6409641999999991</v>
      </c>
      <c r="J874" s="9">
        <f t="shared" si="461"/>
        <v>100</v>
      </c>
    </row>
    <row r="875" spans="1:10" ht="38.25">
      <c r="A875" s="8" t="s">
        <v>218</v>
      </c>
      <c r="B875" s="1" t="s">
        <v>515</v>
      </c>
      <c r="C875" s="1" t="s">
        <v>219</v>
      </c>
      <c r="D875" s="9">
        <f>ведомство!G1345</f>
        <v>5000</v>
      </c>
      <c r="E875" s="9">
        <f>ведомство!H1345</f>
        <v>5000</v>
      </c>
      <c r="F875" s="9">
        <f>ведомство!I1345</f>
        <v>482.04820999999998</v>
      </c>
      <c r="G875" s="9">
        <f>ведомство!J1345</f>
        <v>482.04820999999998</v>
      </c>
      <c r="H875" s="9">
        <f>ведомство!K1345</f>
        <v>482.04820999999998</v>
      </c>
      <c r="I875" s="9">
        <f t="shared" si="460"/>
        <v>9.6409641999999991</v>
      </c>
      <c r="J875" s="9">
        <f t="shared" si="461"/>
        <v>100</v>
      </c>
    </row>
    <row r="876" spans="1:10">
      <c r="A876" s="8" t="s">
        <v>516</v>
      </c>
      <c r="B876" s="1" t="s">
        <v>517</v>
      </c>
      <c r="C876" s="1" t="s">
        <v>0</v>
      </c>
      <c r="D876" s="9">
        <f>D877</f>
        <v>10750</v>
      </c>
      <c r="E876" s="9">
        <f>E877</f>
        <v>10750</v>
      </c>
      <c r="F876" s="9">
        <f t="shared" ref="F876:G877" si="490">F877</f>
        <v>10750</v>
      </c>
      <c r="G876" s="9">
        <f t="shared" si="490"/>
        <v>10750</v>
      </c>
      <c r="H876" s="9">
        <f>H877</f>
        <v>10750</v>
      </c>
      <c r="I876" s="9">
        <f t="shared" si="460"/>
        <v>100</v>
      </c>
      <c r="J876" s="9">
        <f t="shared" si="461"/>
        <v>100</v>
      </c>
    </row>
    <row r="877" spans="1:10">
      <c r="A877" s="8" t="s">
        <v>72</v>
      </c>
      <c r="B877" s="1" t="s">
        <v>517</v>
      </c>
      <c r="C877" s="1" t="s">
        <v>73</v>
      </c>
      <c r="D877" s="9">
        <f>D878</f>
        <v>10750</v>
      </c>
      <c r="E877" s="9">
        <f>E878</f>
        <v>10750</v>
      </c>
      <c r="F877" s="9">
        <f t="shared" si="490"/>
        <v>10750</v>
      </c>
      <c r="G877" s="9">
        <f t="shared" si="490"/>
        <v>10750</v>
      </c>
      <c r="H877" s="9">
        <f>H878</f>
        <v>10750</v>
      </c>
      <c r="I877" s="9">
        <f t="shared" si="460"/>
        <v>100</v>
      </c>
      <c r="J877" s="9">
        <f t="shared" si="461"/>
        <v>100</v>
      </c>
    </row>
    <row r="878" spans="1:10" ht="38.25">
      <c r="A878" s="8" t="s">
        <v>218</v>
      </c>
      <c r="B878" s="1" t="s">
        <v>517</v>
      </c>
      <c r="C878" s="1" t="s">
        <v>219</v>
      </c>
      <c r="D878" s="9">
        <f>ведомство!G1348</f>
        <v>10750</v>
      </c>
      <c r="E878" s="9">
        <f>ведомство!H1348</f>
        <v>10750</v>
      </c>
      <c r="F878" s="9">
        <f>ведомство!I1348</f>
        <v>10750</v>
      </c>
      <c r="G878" s="9">
        <f>ведомство!J1348</f>
        <v>10750</v>
      </c>
      <c r="H878" s="9">
        <f>ведомство!K1348</f>
        <v>10750</v>
      </c>
      <c r="I878" s="9">
        <f t="shared" si="460"/>
        <v>100</v>
      </c>
      <c r="J878" s="9">
        <f t="shared" si="461"/>
        <v>100</v>
      </c>
    </row>
    <row r="879" spans="1:10" ht="38.25">
      <c r="A879" s="8" t="s">
        <v>518</v>
      </c>
      <c r="B879" s="1" t="s">
        <v>519</v>
      </c>
      <c r="C879" s="1" t="s">
        <v>0</v>
      </c>
      <c r="D879" s="9">
        <f>D880</f>
        <v>9500</v>
      </c>
      <c r="E879" s="9">
        <f>E880</f>
        <v>9500</v>
      </c>
      <c r="F879" s="9">
        <f t="shared" ref="F879:G880" si="491">F880</f>
        <v>7224.1102700000001</v>
      </c>
      <c r="G879" s="9">
        <f t="shared" si="491"/>
        <v>7224.1102700000001</v>
      </c>
      <c r="H879" s="9">
        <f>H880</f>
        <v>7224.1102700000001</v>
      </c>
      <c r="I879" s="9">
        <f t="shared" si="460"/>
        <v>76.043266000000003</v>
      </c>
      <c r="J879" s="9">
        <f t="shared" si="461"/>
        <v>100</v>
      </c>
    </row>
    <row r="880" spans="1:10">
      <c r="A880" s="8" t="s">
        <v>72</v>
      </c>
      <c r="B880" s="1" t="s">
        <v>519</v>
      </c>
      <c r="C880" s="1" t="s">
        <v>73</v>
      </c>
      <c r="D880" s="9">
        <f>D881</f>
        <v>9500</v>
      </c>
      <c r="E880" s="9">
        <f>E881</f>
        <v>9500</v>
      </c>
      <c r="F880" s="9">
        <f t="shared" si="491"/>
        <v>7224.1102700000001</v>
      </c>
      <c r="G880" s="9">
        <f t="shared" si="491"/>
        <v>7224.1102700000001</v>
      </c>
      <c r="H880" s="9">
        <f>H881</f>
        <v>7224.1102700000001</v>
      </c>
      <c r="I880" s="9">
        <f t="shared" si="460"/>
        <v>76.043266000000003</v>
      </c>
      <c r="J880" s="9">
        <f t="shared" si="461"/>
        <v>100</v>
      </c>
    </row>
    <row r="881" spans="1:10" ht="38.25">
      <c r="A881" s="8" t="s">
        <v>218</v>
      </c>
      <c r="B881" s="1" t="s">
        <v>519</v>
      </c>
      <c r="C881" s="1" t="s">
        <v>219</v>
      </c>
      <c r="D881" s="9">
        <f>ведомство!G1351</f>
        <v>9500</v>
      </c>
      <c r="E881" s="9">
        <f>ведомство!H1351</f>
        <v>9500</v>
      </c>
      <c r="F881" s="9">
        <f>ведомство!I1351</f>
        <v>7224.1102700000001</v>
      </c>
      <c r="G881" s="9">
        <f>ведомство!J1351</f>
        <v>7224.1102700000001</v>
      </c>
      <c r="H881" s="9">
        <f>ведомство!K1351</f>
        <v>7224.1102700000001</v>
      </c>
      <c r="I881" s="9">
        <f t="shared" si="460"/>
        <v>76.043266000000003</v>
      </c>
      <c r="J881" s="9">
        <f t="shared" si="461"/>
        <v>100</v>
      </c>
    </row>
    <row r="882" spans="1:10" ht="25.5">
      <c r="A882" s="8" t="s">
        <v>520</v>
      </c>
      <c r="B882" s="1" t="s">
        <v>521</v>
      </c>
      <c r="C882" s="1" t="s">
        <v>0</v>
      </c>
      <c r="D882" s="9">
        <f>D883</f>
        <v>500</v>
      </c>
      <c r="E882" s="9">
        <f>E883</f>
        <v>500</v>
      </c>
      <c r="F882" s="9">
        <f t="shared" ref="F882:G883" si="492">F883</f>
        <v>75</v>
      </c>
      <c r="G882" s="9">
        <f t="shared" si="492"/>
        <v>0</v>
      </c>
      <c r="H882" s="9">
        <f>H883</f>
        <v>0</v>
      </c>
      <c r="I882" s="9">
        <f t="shared" si="460"/>
        <v>0</v>
      </c>
      <c r="J882" s="9">
        <v>0</v>
      </c>
    </row>
    <row r="883" spans="1:10" ht="25.5">
      <c r="A883" s="8" t="s">
        <v>64</v>
      </c>
      <c r="B883" s="1" t="s">
        <v>521</v>
      </c>
      <c r="C883" s="1" t="s">
        <v>65</v>
      </c>
      <c r="D883" s="9">
        <f>D884</f>
        <v>500</v>
      </c>
      <c r="E883" s="9">
        <f>E884</f>
        <v>500</v>
      </c>
      <c r="F883" s="9">
        <f t="shared" si="492"/>
        <v>75</v>
      </c>
      <c r="G883" s="9">
        <f t="shared" si="492"/>
        <v>0</v>
      </c>
      <c r="H883" s="9">
        <f>H884</f>
        <v>0</v>
      </c>
      <c r="I883" s="9">
        <f t="shared" si="460"/>
        <v>0</v>
      </c>
      <c r="J883" s="9">
        <v>0</v>
      </c>
    </row>
    <row r="884" spans="1:10" ht="25.5">
      <c r="A884" s="8" t="s">
        <v>66</v>
      </c>
      <c r="B884" s="1" t="s">
        <v>521</v>
      </c>
      <c r="C884" s="1" t="s">
        <v>67</v>
      </c>
      <c r="D884" s="9">
        <f>ведомство!G1354</f>
        <v>500</v>
      </c>
      <c r="E884" s="9">
        <f>ведомство!H1354</f>
        <v>500</v>
      </c>
      <c r="F884" s="9">
        <f>ведомство!I1354</f>
        <v>75</v>
      </c>
      <c r="G884" s="9">
        <f>ведомство!J1354</f>
        <v>0</v>
      </c>
      <c r="H884" s="9">
        <f>ведомство!K1354</f>
        <v>0</v>
      </c>
      <c r="I884" s="9">
        <f t="shared" si="460"/>
        <v>0</v>
      </c>
      <c r="J884" s="9">
        <v>0</v>
      </c>
    </row>
    <row r="885" spans="1:10" ht="25.5">
      <c r="A885" s="8" t="s">
        <v>522</v>
      </c>
      <c r="B885" s="1" t="s">
        <v>523</v>
      </c>
      <c r="C885" s="1" t="s">
        <v>0</v>
      </c>
      <c r="D885" s="9">
        <f>D886</f>
        <v>16000</v>
      </c>
      <c r="E885" s="9">
        <f>E886</f>
        <v>16000</v>
      </c>
      <c r="F885" s="9">
        <f t="shared" ref="F885:G886" si="493">F886</f>
        <v>16000</v>
      </c>
      <c r="G885" s="9">
        <f t="shared" si="493"/>
        <v>16000</v>
      </c>
      <c r="H885" s="9">
        <f>H886</f>
        <v>16000</v>
      </c>
      <c r="I885" s="9">
        <f t="shared" si="460"/>
        <v>100</v>
      </c>
      <c r="J885" s="9">
        <f t="shared" si="461"/>
        <v>100</v>
      </c>
    </row>
    <row r="886" spans="1:10">
      <c r="A886" s="8" t="s">
        <v>72</v>
      </c>
      <c r="B886" s="1" t="s">
        <v>523</v>
      </c>
      <c r="C886" s="1" t="s">
        <v>73</v>
      </c>
      <c r="D886" s="9">
        <f>D887</f>
        <v>16000</v>
      </c>
      <c r="E886" s="9">
        <f>E887</f>
        <v>16000</v>
      </c>
      <c r="F886" s="9">
        <f t="shared" si="493"/>
        <v>16000</v>
      </c>
      <c r="G886" s="9">
        <f t="shared" si="493"/>
        <v>16000</v>
      </c>
      <c r="H886" s="9">
        <f>H887</f>
        <v>16000</v>
      </c>
      <c r="I886" s="9">
        <f t="shared" si="460"/>
        <v>100</v>
      </c>
      <c r="J886" s="9">
        <f t="shared" si="461"/>
        <v>100</v>
      </c>
    </row>
    <row r="887" spans="1:10" ht="38.25">
      <c r="A887" s="8" t="s">
        <v>218</v>
      </c>
      <c r="B887" s="1" t="s">
        <v>523</v>
      </c>
      <c r="C887" s="1" t="s">
        <v>219</v>
      </c>
      <c r="D887" s="9">
        <f>ведомство!G1357</f>
        <v>16000</v>
      </c>
      <c r="E887" s="9">
        <f>ведомство!H1357</f>
        <v>16000</v>
      </c>
      <c r="F887" s="9">
        <f>ведомство!I1357</f>
        <v>16000</v>
      </c>
      <c r="G887" s="9">
        <f>ведомство!J1357</f>
        <v>16000</v>
      </c>
      <c r="H887" s="9">
        <f>ведомство!K1357</f>
        <v>16000</v>
      </c>
      <c r="I887" s="9">
        <f t="shared" si="460"/>
        <v>100</v>
      </c>
      <c r="J887" s="9">
        <f t="shared" si="461"/>
        <v>100</v>
      </c>
    </row>
    <row r="888" spans="1:10" ht="25.5">
      <c r="A888" s="8" t="s">
        <v>524</v>
      </c>
      <c r="B888" s="1" t="s">
        <v>525</v>
      </c>
      <c r="C888" s="1" t="s">
        <v>0</v>
      </c>
      <c r="D888" s="9">
        <f>D889</f>
        <v>1000</v>
      </c>
      <c r="E888" s="9">
        <f>E889</f>
        <v>816.08</v>
      </c>
      <c r="F888" s="9">
        <f t="shared" ref="F888:G889" si="494">F889</f>
        <v>0</v>
      </c>
      <c r="G888" s="9">
        <f t="shared" si="494"/>
        <v>0</v>
      </c>
      <c r="H888" s="9">
        <f>H889</f>
        <v>0</v>
      </c>
      <c r="I888" s="9">
        <f t="shared" si="460"/>
        <v>0</v>
      </c>
      <c r="J888" s="9">
        <v>0</v>
      </c>
    </row>
    <row r="889" spans="1:10">
      <c r="A889" s="8" t="s">
        <v>72</v>
      </c>
      <c r="B889" s="1" t="s">
        <v>525</v>
      </c>
      <c r="C889" s="1" t="s">
        <v>73</v>
      </c>
      <c r="D889" s="9">
        <f>D890</f>
        <v>1000</v>
      </c>
      <c r="E889" s="9">
        <f>E890</f>
        <v>816.08</v>
      </c>
      <c r="F889" s="9">
        <f t="shared" si="494"/>
        <v>0</v>
      </c>
      <c r="G889" s="9">
        <f t="shared" si="494"/>
        <v>0</v>
      </c>
      <c r="H889" s="9">
        <f>H890</f>
        <v>0</v>
      </c>
      <c r="I889" s="9">
        <f t="shared" si="460"/>
        <v>0</v>
      </c>
      <c r="J889" s="9">
        <v>0</v>
      </c>
    </row>
    <row r="890" spans="1:10" ht="38.25">
      <c r="A890" s="8" t="s">
        <v>218</v>
      </c>
      <c r="B890" s="1" t="s">
        <v>525</v>
      </c>
      <c r="C890" s="1" t="s">
        <v>219</v>
      </c>
      <c r="D890" s="9">
        <f>ведомство!G1360</f>
        <v>1000</v>
      </c>
      <c r="E890" s="9">
        <f>ведомство!H1360</f>
        <v>816.08</v>
      </c>
      <c r="F890" s="9">
        <f>ведомство!I1360</f>
        <v>0</v>
      </c>
      <c r="G890" s="9">
        <f>ведомство!J1360</f>
        <v>0</v>
      </c>
      <c r="H890" s="9">
        <f>ведомство!K1360</f>
        <v>0</v>
      </c>
      <c r="I890" s="9">
        <f t="shared" si="460"/>
        <v>0</v>
      </c>
      <c r="J890" s="9">
        <v>0</v>
      </c>
    </row>
    <row r="891" spans="1:10">
      <c r="A891" s="8" t="s">
        <v>1100</v>
      </c>
      <c r="B891" s="1" t="s">
        <v>1101</v>
      </c>
      <c r="C891" s="1" t="s">
        <v>0</v>
      </c>
      <c r="D891" s="9">
        <f>D892</f>
        <v>4000</v>
      </c>
      <c r="E891" s="9">
        <f>E892</f>
        <v>4000</v>
      </c>
      <c r="F891" s="9">
        <f t="shared" ref="F891:G892" si="495">F892</f>
        <v>3700</v>
      </c>
      <c r="G891" s="9">
        <f t="shared" si="495"/>
        <v>3700</v>
      </c>
      <c r="H891" s="9">
        <f>H892</f>
        <v>3655.4782599999999</v>
      </c>
      <c r="I891" s="9">
        <f t="shared" si="460"/>
        <v>91.386956499999997</v>
      </c>
      <c r="J891" s="9">
        <f t="shared" si="461"/>
        <v>98.796709729729727</v>
      </c>
    </row>
    <row r="892" spans="1:10" ht="25.5">
      <c r="A892" s="8" t="s">
        <v>64</v>
      </c>
      <c r="B892" s="1" t="s">
        <v>1101</v>
      </c>
      <c r="C892" s="1" t="s">
        <v>65</v>
      </c>
      <c r="D892" s="9">
        <f>D893</f>
        <v>4000</v>
      </c>
      <c r="E892" s="9">
        <f>E893</f>
        <v>4000</v>
      </c>
      <c r="F892" s="9">
        <f t="shared" si="495"/>
        <v>3700</v>
      </c>
      <c r="G892" s="9">
        <f t="shared" si="495"/>
        <v>3700</v>
      </c>
      <c r="H892" s="9">
        <f>H893</f>
        <v>3655.4782599999999</v>
      </c>
      <c r="I892" s="9">
        <f t="shared" si="460"/>
        <v>91.386956499999997</v>
      </c>
      <c r="J892" s="9">
        <f t="shared" si="461"/>
        <v>98.796709729729727</v>
      </c>
    </row>
    <row r="893" spans="1:10" ht="25.5">
      <c r="A893" s="8" t="s">
        <v>66</v>
      </c>
      <c r="B893" s="1" t="s">
        <v>1101</v>
      </c>
      <c r="C893" s="1" t="s">
        <v>67</v>
      </c>
      <c r="D893" s="9">
        <f>ведомство!G2957</f>
        <v>4000</v>
      </c>
      <c r="E893" s="9">
        <f>ведомство!H2957</f>
        <v>4000</v>
      </c>
      <c r="F893" s="9">
        <f>ведомство!I2957</f>
        <v>3700</v>
      </c>
      <c r="G893" s="9">
        <f>ведомство!J2957</f>
        <v>3700</v>
      </c>
      <c r="H893" s="9">
        <f>ведомство!K2957</f>
        <v>3655.4782599999999</v>
      </c>
      <c r="I893" s="9">
        <f t="shared" si="460"/>
        <v>91.386956499999997</v>
      </c>
      <c r="J893" s="9">
        <f t="shared" si="461"/>
        <v>98.796709729729727</v>
      </c>
    </row>
    <row r="894" spans="1:10" ht="25.5">
      <c r="A894" s="8" t="s">
        <v>190</v>
      </c>
      <c r="B894" s="1" t="s">
        <v>191</v>
      </c>
      <c r="C894" s="1" t="s">
        <v>0</v>
      </c>
      <c r="D894" s="9">
        <f>D895</f>
        <v>20000</v>
      </c>
      <c r="E894" s="9">
        <f>E895</f>
        <v>20000</v>
      </c>
      <c r="F894" s="9">
        <f t="shared" ref="F894:G895" si="496">F895</f>
        <v>0</v>
      </c>
      <c r="G894" s="9">
        <f t="shared" si="496"/>
        <v>0</v>
      </c>
      <c r="H894" s="9">
        <f>H895</f>
        <v>0</v>
      </c>
      <c r="I894" s="9">
        <f t="shared" si="460"/>
        <v>0</v>
      </c>
      <c r="J894" s="9">
        <v>0</v>
      </c>
    </row>
    <row r="895" spans="1:10">
      <c r="A895" s="8" t="s">
        <v>26</v>
      </c>
      <c r="B895" s="1" t="s">
        <v>191</v>
      </c>
      <c r="C895" s="1" t="s">
        <v>27</v>
      </c>
      <c r="D895" s="9">
        <f>D896</f>
        <v>20000</v>
      </c>
      <c r="E895" s="9">
        <f>E896</f>
        <v>20000</v>
      </c>
      <c r="F895" s="9">
        <f t="shared" si="496"/>
        <v>0</v>
      </c>
      <c r="G895" s="9">
        <f t="shared" si="496"/>
        <v>0</v>
      </c>
      <c r="H895" s="9">
        <f>H896</f>
        <v>0</v>
      </c>
      <c r="I895" s="9">
        <f t="shared" si="460"/>
        <v>0</v>
      </c>
      <c r="J895" s="9">
        <v>0</v>
      </c>
    </row>
    <row r="896" spans="1:10">
      <c r="A896" s="8" t="s">
        <v>56</v>
      </c>
      <c r="B896" s="1" t="s">
        <v>191</v>
      </c>
      <c r="C896" s="1" t="s">
        <v>57</v>
      </c>
      <c r="D896" s="9">
        <f>ведомство!G263</f>
        <v>20000</v>
      </c>
      <c r="E896" s="9">
        <f>ведомство!H263</f>
        <v>20000</v>
      </c>
      <c r="F896" s="9">
        <f>ведомство!I263</f>
        <v>0</v>
      </c>
      <c r="G896" s="9">
        <f>ведомство!J263</f>
        <v>0</v>
      </c>
      <c r="H896" s="9">
        <f>ведомство!K263</f>
        <v>0</v>
      </c>
      <c r="I896" s="9">
        <f t="shared" si="460"/>
        <v>0</v>
      </c>
      <c r="J896" s="9">
        <v>0</v>
      </c>
    </row>
    <row r="897" spans="1:10" ht="25.5">
      <c r="A897" s="8" t="s">
        <v>526</v>
      </c>
      <c r="B897" s="1" t="s">
        <v>527</v>
      </c>
      <c r="C897" s="1" t="s">
        <v>0</v>
      </c>
      <c r="D897" s="9">
        <f>D898</f>
        <v>9500</v>
      </c>
      <c r="E897" s="9">
        <f>E898</f>
        <v>9500</v>
      </c>
      <c r="F897" s="9">
        <f t="shared" ref="F897:G898" si="497">F898</f>
        <v>8902.8850000000002</v>
      </c>
      <c r="G897" s="9">
        <f t="shared" si="497"/>
        <v>8902.8850000000002</v>
      </c>
      <c r="H897" s="9">
        <f>H898</f>
        <v>8902.8850000000002</v>
      </c>
      <c r="I897" s="9">
        <f t="shared" si="460"/>
        <v>93.714578947368423</v>
      </c>
      <c r="J897" s="9">
        <f t="shared" si="461"/>
        <v>100</v>
      </c>
    </row>
    <row r="898" spans="1:10">
      <c r="A898" s="8" t="s">
        <v>72</v>
      </c>
      <c r="B898" s="1" t="s">
        <v>527</v>
      </c>
      <c r="C898" s="1" t="s">
        <v>73</v>
      </c>
      <c r="D898" s="9">
        <f>D899</f>
        <v>9500</v>
      </c>
      <c r="E898" s="9">
        <f>E899</f>
        <v>9500</v>
      </c>
      <c r="F898" s="9">
        <f t="shared" si="497"/>
        <v>8902.8850000000002</v>
      </c>
      <c r="G898" s="9">
        <f t="shared" si="497"/>
        <v>8902.8850000000002</v>
      </c>
      <c r="H898" s="9">
        <f>H899</f>
        <v>8902.8850000000002</v>
      </c>
      <c r="I898" s="9">
        <f t="shared" si="460"/>
        <v>93.714578947368423</v>
      </c>
      <c r="J898" s="9">
        <f t="shared" si="461"/>
        <v>100</v>
      </c>
    </row>
    <row r="899" spans="1:10" ht="38.25">
      <c r="A899" s="8" t="s">
        <v>218</v>
      </c>
      <c r="B899" s="1" t="s">
        <v>527</v>
      </c>
      <c r="C899" s="1" t="s">
        <v>219</v>
      </c>
      <c r="D899" s="9">
        <f>ведомство!G1363</f>
        <v>9500</v>
      </c>
      <c r="E899" s="9">
        <f>ведомство!H1363</f>
        <v>9500</v>
      </c>
      <c r="F899" s="9">
        <f>ведомство!I1363</f>
        <v>8902.8850000000002</v>
      </c>
      <c r="G899" s="9">
        <f>ведомство!J1363</f>
        <v>8902.8850000000002</v>
      </c>
      <c r="H899" s="9">
        <f>ведомство!K1363</f>
        <v>8902.8850000000002</v>
      </c>
      <c r="I899" s="9">
        <f t="shared" si="460"/>
        <v>93.714578947368423</v>
      </c>
      <c r="J899" s="9">
        <f t="shared" si="461"/>
        <v>100</v>
      </c>
    </row>
    <row r="900" spans="1:10" ht="38.25">
      <c r="A900" s="8" t="s">
        <v>528</v>
      </c>
      <c r="B900" s="1" t="s">
        <v>529</v>
      </c>
      <c r="C900" s="1" t="s">
        <v>0</v>
      </c>
      <c r="D900" s="9">
        <f>D901</f>
        <v>5240.8</v>
      </c>
      <c r="E900" s="9">
        <f>E901</f>
        <v>5240.8</v>
      </c>
      <c r="F900" s="9">
        <f t="shared" ref="F900:G901" si="498">F901</f>
        <v>4998.2120000000004</v>
      </c>
      <c r="G900" s="9">
        <f t="shared" si="498"/>
        <v>4998.2120000000004</v>
      </c>
      <c r="H900" s="9">
        <f>H901</f>
        <v>4998.2120000000004</v>
      </c>
      <c r="I900" s="9">
        <f t="shared" si="460"/>
        <v>95.371164707678219</v>
      </c>
      <c r="J900" s="9">
        <f t="shared" si="461"/>
        <v>100</v>
      </c>
    </row>
    <row r="901" spans="1:10">
      <c r="A901" s="8" t="s">
        <v>72</v>
      </c>
      <c r="B901" s="1" t="s">
        <v>529</v>
      </c>
      <c r="C901" s="1" t="s">
        <v>73</v>
      </c>
      <c r="D901" s="9">
        <f>D902</f>
        <v>5240.8</v>
      </c>
      <c r="E901" s="9">
        <f>E902</f>
        <v>5240.8</v>
      </c>
      <c r="F901" s="9">
        <f t="shared" si="498"/>
        <v>4998.2120000000004</v>
      </c>
      <c r="G901" s="9">
        <f t="shared" si="498"/>
        <v>4998.2120000000004</v>
      </c>
      <c r="H901" s="9">
        <f>H902</f>
        <v>4998.2120000000004</v>
      </c>
      <c r="I901" s="9">
        <f t="shared" si="460"/>
        <v>95.371164707678219</v>
      </c>
      <c r="J901" s="9">
        <f t="shared" si="461"/>
        <v>100</v>
      </c>
    </row>
    <row r="902" spans="1:10" ht="38.25">
      <c r="A902" s="8" t="s">
        <v>218</v>
      </c>
      <c r="B902" s="1" t="s">
        <v>529</v>
      </c>
      <c r="C902" s="1" t="s">
        <v>219</v>
      </c>
      <c r="D902" s="9">
        <f>ведомство!G1366</f>
        <v>5240.8</v>
      </c>
      <c r="E902" s="9">
        <f>ведомство!H1366</f>
        <v>5240.8</v>
      </c>
      <c r="F902" s="9">
        <f>ведомство!I1366</f>
        <v>4998.2120000000004</v>
      </c>
      <c r="G902" s="9">
        <f>ведомство!J1366</f>
        <v>4998.2120000000004</v>
      </c>
      <c r="H902" s="9">
        <f>ведомство!K1366</f>
        <v>4998.2120000000004</v>
      </c>
      <c r="I902" s="9">
        <f t="shared" si="460"/>
        <v>95.371164707678219</v>
      </c>
      <c r="J902" s="9">
        <f t="shared" si="461"/>
        <v>100</v>
      </c>
    </row>
    <row r="903" spans="1:10" ht="38.25">
      <c r="A903" s="8" t="s">
        <v>530</v>
      </c>
      <c r="B903" s="1" t="s">
        <v>531</v>
      </c>
      <c r="C903" s="1" t="s">
        <v>0</v>
      </c>
      <c r="D903" s="9">
        <f>D904</f>
        <v>600</v>
      </c>
      <c r="E903" s="9">
        <f>E904</f>
        <v>600</v>
      </c>
      <c r="F903" s="9">
        <f t="shared" ref="F903:G904" si="499">F904</f>
        <v>391.17700000000002</v>
      </c>
      <c r="G903" s="9">
        <f t="shared" si="499"/>
        <v>391.17700000000002</v>
      </c>
      <c r="H903" s="9">
        <f>H904</f>
        <v>391.17700000000002</v>
      </c>
      <c r="I903" s="9">
        <f t="shared" si="460"/>
        <v>65.19616666666667</v>
      </c>
      <c r="J903" s="9">
        <f t="shared" si="461"/>
        <v>100</v>
      </c>
    </row>
    <row r="904" spans="1:10">
      <c r="A904" s="8" t="s">
        <v>72</v>
      </c>
      <c r="B904" s="1" t="s">
        <v>531</v>
      </c>
      <c r="C904" s="1" t="s">
        <v>73</v>
      </c>
      <c r="D904" s="9">
        <f>D905</f>
        <v>600</v>
      </c>
      <c r="E904" s="9">
        <f>E905</f>
        <v>600</v>
      </c>
      <c r="F904" s="9">
        <f t="shared" si="499"/>
        <v>391.17700000000002</v>
      </c>
      <c r="G904" s="9">
        <f t="shared" si="499"/>
        <v>391.17700000000002</v>
      </c>
      <c r="H904" s="9">
        <f>H905</f>
        <v>391.17700000000002</v>
      </c>
      <c r="I904" s="9">
        <f t="shared" si="460"/>
        <v>65.19616666666667</v>
      </c>
      <c r="J904" s="9">
        <f t="shared" si="461"/>
        <v>100</v>
      </c>
    </row>
    <row r="905" spans="1:10" ht="38.25">
      <c r="A905" s="8" t="s">
        <v>218</v>
      </c>
      <c r="B905" s="1" t="s">
        <v>531</v>
      </c>
      <c r="C905" s="1" t="s">
        <v>219</v>
      </c>
      <c r="D905" s="9">
        <f>ведомство!G1369</f>
        <v>600</v>
      </c>
      <c r="E905" s="9">
        <f>ведомство!H1369</f>
        <v>600</v>
      </c>
      <c r="F905" s="9">
        <f>ведомство!I1369</f>
        <v>391.17700000000002</v>
      </c>
      <c r="G905" s="9">
        <f>ведомство!J1369</f>
        <v>391.17700000000002</v>
      </c>
      <c r="H905" s="9">
        <f>ведомство!K1369</f>
        <v>391.17700000000002</v>
      </c>
      <c r="I905" s="9">
        <f t="shared" si="460"/>
        <v>65.19616666666667</v>
      </c>
      <c r="J905" s="9">
        <f t="shared" si="461"/>
        <v>100</v>
      </c>
    </row>
    <row r="906" spans="1:10" ht="51">
      <c r="A906" s="8" t="s">
        <v>532</v>
      </c>
      <c r="B906" s="1" t="s">
        <v>533</v>
      </c>
      <c r="C906" s="1" t="s">
        <v>0</v>
      </c>
      <c r="D906" s="9">
        <f>D907</f>
        <v>4100</v>
      </c>
      <c r="E906" s="9">
        <f>E907</f>
        <v>4100</v>
      </c>
      <c r="F906" s="9">
        <f t="shared" ref="F906:G907" si="500">F907</f>
        <v>2218.7310000000002</v>
      </c>
      <c r="G906" s="9">
        <f t="shared" si="500"/>
        <v>2218.7310000000002</v>
      </c>
      <c r="H906" s="9">
        <f>H907</f>
        <v>2218.7310000000002</v>
      </c>
      <c r="I906" s="9">
        <f t="shared" si="460"/>
        <v>54.115390243902439</v>
      </c>
      <c r="J906" s="9">
        <f t="shared" si="461"/>
        <v>100</v>
      </c>
    </row>
    <row r="907" spans="1:10">
      <c r="A907" s="8" t="s">
        <v>72</v>
      </c>
      <c r="B907" s="1" t="s">
        <v>533</v>
      </c>
      <c r="C907" s="1" t="s">
        <v>73</v>
      </c>
      <c r="D907" s="9">
        <f>D908</f>
        <v>4100</v>
      </c>
      <c r="E907" s="9">
        <f>E908</f>
        <v>4100</v>
      </c>
      <c r="F907" s="9">
        <f t="shared" si="500"/>
        <v>2218.7310000000002</v>
      </c>
      <c r="G907" s="9">
        <f t="shared" si="500"/>
        <v>2218.7310000000002</v>
      </c>
      <c r="H907" s="9">
        <f>H908</f>
        <v>2218.7310000000002</v>
      </c>
      <c r="I907" s="9">
        <f t="shared" si="460"/>
        <v>54.115390243902439</v>
      </c>
      <c r="J907" s="9">
        <f t="shared" si="461"/>
        <v>100</v>
      </c>
    </row>
    <row r="908" spans="1:10" ht="38.25">
      <c r="A908" s="8" t="s">
        <v>218</v>
      </c>
      <c r="B908" s="1" t="s">
        <v>533</v>
      </c>
      <c r="C908" s="1" t="s">
        <v>219</v>
      </c>
      <c r="D908" s="9">
        <f>ведомство!G1372</f>
        <v>4100</v>
      </c>
      <c r="E908" s="9">
        <f>ведомство!H1372</f>
        <v>4100</v>
      </c>
      <c r="F908" s="9">
        <f>ведомство!I1372</f>
        <v>2218.7310000000002</v>
      </c>
      <c r="G908" s="9">
        <f>ведомство!J1372</f>
        <v>2218.7310000000002</v>
      </c>
      <c r="H908" s="9">
        <f>ведомство!K1372</f>
        <v>2218.7310000000002</v>
      </c>
      <c r="I908" s="9">
        <f t="shared" si="460"/>
        <v>54.115390243902439</v>
      </c>
      <c r="J908" s="9">
        <f t="shared" si="461"/>
        <v>100</v>
      </c>
    </row>
    <row r="909" spans="1:10" ht="51">
      <c r="A909" s="8" t="s">
        <v>534</v>
      </c>
      <c r="B909" s="1" t="s">
        <v>535</v>
      </c>
      <c r="C909" s="1" t="s">
        <v>0</v>
      </c>
      <c r="D909" s="9">
        <f>D910</f>
        <v>0</v>
      </c>
      <c r="E909" s="9">
        <f>E910</f>
        <v>0</v>
      </c>
      <c r="F909" s="9">
        <f t="shared" ref="F909:G910" si="501">F910</f>
        <v>0</v>
      </c>
      <c r="G909" s="9">
        <f t="shared" si="501"/>
        <v>0</v>
      </c>
      <c r="H909" s="9">
        <f>H910</f>
        <v>0</v>
      </c>
      <c r="I909" s="9">
        <v>0</v>
      </c>
      <c r="J909" s="9">
        <v>0</v>
      </c>
    </row>
    <row r="910" spans="1:10">
      <c r="A910" s="8" t="s">
        <v>72</v>
      </c>
      <c r="B910" s="1" t="s">
        <v>535</v>
      </c>
      <c r="C910" s="1" t="s">
        <v>73</v>
      </c>
      <c r="D910" s="9">
        <f>D911</f>
        <v>0</v>
      </c>
      <c r="E910" s="9">
        <f>E911</f>
        <v>0</v>
      </c>
      <c r="F910" s="9">
        <f t="shared" si="501"/>
        <v>0</v>
      </c>
      <c r="G910" s="9">
        <f t="shared" si="501"/>
        <v>0</v>
      </c>
      <c r="H910" s="9">
        <f>H911</f>
        <v>0</v>
      </c>
      <c r="I910" s="9">
        <v>0</v>
      </c>
      <c r="J910" s="9">
        <v>0</v>
      </c>
    </row>
    <row r="911" spans="1:10" ht="38.25">
      <c r="A911" s="8" t="s">
        <v>218</v>
      </c>
      <c r="B911" s="1" t="s">
        <v>535</v>
      </c>
      <c r="C911" s="1" t="s">
        <v>219</v>
      </c>
      <c r="D911" s="9">
        <f>ведомство!G1375</f>
        <v>0</v>
      </c>
      <c r="E911" s="9">
        <f>ведомство!H1375</f>
        <v>0</v>
      </c>
      <c r="F911" s="9">
        <f>ведомство!I1375</f>
        <v>0</v>
      </c>
      <c r="G911" s="9">
        <f>ведомство!J1375</f>
        <v>0</v>
      </c>
      <c r="H911" s="9">
        <f>ведомство!K1375</f>
        <v>0</v>
      </c>
      <c r="I911" s="9">
        <v>0</v>
      </c>
      <c r="J911" s="9">
        <v>0</v>
      </c>
    </row>
    <row r="912" spans="1:10" ht="38.25">
      <c r="A912" s="8" t="s">
        <v>536</v>
      </c>
      <c r="B912" s="1" t="s">
        <v>537</v>
      </c>
      <c r="C912" s="1" t="s">
        <v>0</v>
      </c>
      <c r="D912" s="9">
        <f>D913</f>
        <v>7000</v>
      </c>
      <c r="E912" s="9">
        <f>E913</f>
        <v>7000</v>
      </c>
      <c r="F912" s="9">
        <f t="shared" ref="F912:G913" si="502">F913</f>
        <v>4281.5370000000003</v>
      </c>
      <c r="G912" s="9">
        <f t="shared" si="502"/>
        <v>4281.5370000000003</v>
      </c>
      <c r="H912" s="9">
        <f>H913</f>
        <v>4281.5370000000003</v>
      </c>
      <c r="I912" s="9">
        <f t="shared" si="460"/>
        <v>61.164814285714286</v>
      </c>
      <c r="J912" s="9">
        <f t="shared" si="461"/>
        <v>100</v>
      </c>
    </row>
    <row r="913" spans="1:10">
      <c r="A913" s="8" t="s">
        <v>72</v>
      </c>
      <c r="B913" s="1" t="s">
        <v>537</v>
      </c>
      <c r="C913" s="1" t="s">
        <v>73</v>
      </c>
      <c r="D913" s="9">
        <f>D914</f>
        <v>7000</v>
      </c>
      <c r="E913" s="9">
        <f>E914</f>
        <v>7000</v>
      </c>
      <c r="F913" s="9">
        <f t="shared" si="502"/>
        <v>4281.5370000000003</v>
      </c>
      <c r="G913" s="9">
        <f t="shared" si="502"/>
        <v>4281.5370000000003</v>
      </c>
      <c r="H913" s="9">
        <f>H914</f>
        <v>4281.5370000000003</v>
      </c>
      <c r="I913" s="9">
        <f t="shared" si="460"/>
        <v>61.164814285714286</v>
      </c>
      <c r="J913" s="9">
        <f t="shared" si="461"/>
        <v>100</v>
      </c>
    </row>
    <row r="914" spans="1:10" ht="38.25">
      <c r="A914" s="8" t="s">
        <v>218</v>
      </c>
      <c r="B914" s="1" t="s">
        <v>537</v>
      </c>
      <c r="C914" s="1" t="s">
        <v>219</v>
      </c>
      <c r="D914" s="9">
        <f>ведомство!G1378</f>
        <v>7000</v>
      </c>
      <c r="E914" s="9">
        <f>ведомство!H1378</f>
        <v>7000</v>
      </c>
      <c r="F914" s="9">
        <f>ведомство!I1378</f>
        <v>4281.5370000000003</v>
      </c>
      <c r="G914" s="9">
        <f>ведомство!J1378</f>
        <v>4281.5370000000003</v>
      </c>
      <c r="H914" s="9">
        <f>ведомство!K1378</f>
        <v>4281.5370000000003</v>
      </c>
      <c r="I914" s="9">
        <f t="shared" si="460"/>
        <v>61.164814285714286</v>
      </c>
      <c r="J914" s="9">
        <f t="shared" si="461"/>
        <v>100</v>
      </c>
    </row>
    <row r="915" spans="1:10">
      <c r="A915" s="8" t="s">
        <v>538</v>
      </c>
      <c r="B915" s="1" t="s">
        <v>539</v>
      </c>
      <c r="C915" s="1" t="s">
        <v>0</v>
      </c>
      <c r="D915" s="9">
        <f>D916</f>
        <v>865</v>
      </c>
      <c r="E915" s="9">
        <f>E916</f>
        <v>865</v>
      </c>
      <c r="F915" s="9">
        <f t="shared" ref="F915:G916" si="503">F916</f>
        <v>294.89999999999998</v>
      </c>
      <c r="G915" s="9">
        <f t="shared" si="503"/>
        <v>294.89999999999998</v>
      </c>
      <c r="H915" s="9">
        <f>H916</f>
        <v>294.89999999999998</v>
      </c>
      <c r="I915" s="9">
        <f t="shared" ref="I915:I978" si="504">H915/E915*100</f>
        <v>34.092485549132945</v>
      </c>
      <c r="J915" s="9">
        <f t="shared" ref="J915:J978" si="505">H915/F915*100</f>
        <v>100</v>
      </c>
    </row>
    <row r="916" spans="1:10">
      <c r="A916" s="8" t="s">
        <v>72</v>
      </c>
      <c r="B916" s="1" t="s">
        <v>539</v>
      </c>
      <c r="C916" s="1" t="s">
        <v>73</v>
      </c>
      <c r="D916" s="9">
        <f>D917</f>
        <v>865</v>
      </c>
      <c r="E916" s="9">
        <f>E917</f>
        <v>865</v>
      </c>
      <c r="F916" s="9">
        <f t="shared" si="503"/>
        <v>294.89999999999998</v>
      </c>
      <c r="G916" s="9">
        <f t="shared" si="503"/>
        <v>294.89999999999998</v>
      </c>
      <c r="H916" s="9">
        <f>H917</f>
        <v>294.89999999999998</v>
      </c>
      <c r="I916" s="9">
        <f t="shared" si="504"/>
        <v>34.092485549132945</v>
      </c>
      <c r="J916" s="9">
        <f t="shared" si="505"/>
        <v>100</v>
      </c>
    </row>
    <row r="917" spans="1:10" ht="38.25">
      <c r="A917" s="8" t="s">
        <v>218</v>
      </c>
      <c r="B917" s="1" t="s">
        <v>539</v>
      </c>
      <c r="C917" s="1" t="s">
        <v>219</v>
      </c>
      <c r="D917" s="9">
        <f>ведомство!G1381</f>
        <v>865</v>
      </c>
      <c r="E917" s="9">
        <f>ведомство!H1381</f>
        <v>865</v>
      </c>
      <c r="F917" s="9">
        <f>ведомство!I1381</f>
        <v>294.89999999999998</v>
      </c>
      <c r="G917" s="9">
        <f>ведомство!J1381</f>
        <v>294.89999999999998</v>
      </c>
      <c r="H917" s="9">
        <f>ведомство!K1381</f>
        <v>294.89999999999998</v>
      </c>
      <c r="I917" s="9">
        <f t="shared" si="504"/>
        <v>34.092485549132945</v>
      </c>
      <c r="J917" s="9">
        <f t="shared" si="505"/>
        <v>100</v>
      </c>
    </row>
    <row r="918" spans="1:10" ht="25.5">
      <c r="A918" s="8" t="s">
        <v>540</v>
      </c>
      <c r="B918" s="1" t="s">
        <v>541</v>
      </c>
      <c r="C918" s="1" t="s">
        <v>0</v>
      </c>
      <c r="D918" s="9">
        <f>D919</f>
        <v>260000</v>
      </c>
      <c r="E918" s="9">
        <f>E919</f>
        <v>260000</v>
      </c>
      <c r="F918" s="9">
        <f t="shared" ref="F918:G919" si="506">F919</f>
        <v>260000</v>
      </c>
      <c r="G918" s="9">
        <f t="shared" si="506"/>
        <v>260000</v>
      </c>
      <c r="H918" s="9">
        <f>H919</f>
        <v>260000</v>
      </c>
      <c r="I918" s="9">
        <f t="shared" si="504"/>
        <v>100</v>
      </c>
      <c r="J918" s="9">
        <f t="shared" si="505"/>
        <v>100</v>
      </c>
    </row>
    <row r="919" spans="1:10">
      <c r="A919" s="8" t="s">
        <v>72</v>
      </c>
      <c r="B919" s="1" t="s">
        <v>541</v>
      </c>
      <c r="C919" s="1" t="s">
        <v>73</v>
      </c>
      <c r="D919" s="9">
        <f>D920</f>
        <v>260000</v>
      </c>
      <c r="E919" s="9">
        <f>E920</f>
        <v>260000</v>
      </c>
      <c r="F919" s="9">
        <f t="shared" si="506"/>
        <v>260000</v>
      </c>
      <c r="G919" s="9">
        <f t="shared" si="506"/>
        <v>260000</v>
      </c>
      <c r="H919" s="9">
        <f>H920</f>
        <v>260000</v>
      </c>
      <c r="I919" s="9">
        <f t="shared" si="504"/>
        <v>100</v>
      </c>
      <c r="J919" s="9">
        <f t="shared" si="505"/>
        <v>100</v>
      </c>
    </row>
    <row r="920" spans="1:10" ht="38.25">
      <c r="A920" s="8" t="s">
        <v>218</v>
      </c>
      <c r="B920" s="1" t="s">
        <v>541</v>
      </c>
      <c r="C920" s="1" t="s">
        <v>219</v>
      </c>
      <c r="D920" s="9">
        <f>ведомство!G1384</f>
        <v>260000</v>
      </c>
      <c r="E920" s="9">
        <f>ведомство!H1384</f>
        <v>260000</v>
      </c>
      <c r="F920" s="9">
        <f>ведомство!I1384</f>
        <v>260000</v>
      </c>
      <c r="G920" s="9">
        <f>ведомство!J1384</f>
        <v>260000</v>
      </c>
      <c r="H920" s="9">
        <f>ведомство!K1384</f>
        <v>260000</v>
      </c>
      <c r="I920" s="9">
        <f t="shared" si="504"/>
        <v>100</v>
      </c>
      <c r="J920" s="9">
        <f t="shared" si="505"/>
        <v>100</v>
      </c>
    </row>
    <row r="921" spans="1:10" ht="25.5">
      <c r="A921" s="8" t="s">
        <v>542</v>
      </c>
      <c r="B921" s="1" t="s">
        <v>543</v>
      </c>
      <c r="C921" s="1" t="s">
        <v>0</v>
      </c>
      <c r="D921" s="9">
        <f>D922</f>
        <v>270</v>
      </c>
      <c r="E921" s="9">
        <f>E922</f>
        <v>270</v>
      </c>
      <c r="F921" s="9">
        <f t="shared" ref="F921:G922" si="507">F922</f>
        <v>270</v>
      </c>
      <c r="G921" s="9">
        <f t="shared" si="507"/>
        <v>270</v>
      </c>
      <c r="H921" s="9">
        <f>H922</f>
        <v>270</v>
      </c>
      <c r="I921" s="9">
        <f t="shared" si="504"/>
        <v>100</v>
      </c>
      <c r="J921" s="9">
        <f t="shared" si="505"/>
        <v>100</v>
      </c>
    </row>
    <row r="922" spans="1:10">
      <c r="A922" s="8" t="s">
        <v>72</v>
      </c>
      <c r="B922" s="1" t="s">
        <v>543</v>
      </c>
      <c r="C922" s="1" t="s">
        <v>73</v>
      </c>
      <c r="D922" s="9">
        <f>D923</f>
        <v>270</v>
      </c>
      <c r="E922" s="9">
        <f>E923</f>
        <v>270</v>
      </c>
      <c r="F922" s="9">
        <f t="shared" si="507"/>
        <v>270</v>
      </c>
      <c r="G922" s="9">
        <f t="shared" si="507"/>
        <v>270</v>
      </c>
      <c r="H922" s="9">
        <f>H923</f>
        <v>270</v>
      </c>
      <c r="I922" s="9">
        <f t="shared" si="504"/>
        <v>100</v>
      </c>
      <c r="J922" s="9">
        <f t="shared" si="505"/>
        <v>100</v>
      </c>
    </row>
    <row r="923" spans="1:10" ht="38.25">
      <c r="A923" s="8" t="s">
        <v>218</v>
      </c>
      <c r="B923" s="1" t="s">
        <v>543</v>
      </c>
      <c r="C923" s="1" t="s">
        <v>219</v>
      </c>
      <c r="D923" s="9">
        <f>ведомство!G1387</f>
        <v>270</v>
      </c>
      <c r="E923" s="9">
        <f>ведомство!H1387</f>
        <v>270</v>
      </c>
      <c r="F923" s="9">
        <f>ведомство!I1387</f>
        <v>270</v>
      </c>
      <c r="G923" s="9">
        <f>ведомство!J1387</f>
        <v>270</v>
      </c>
      <c r="H923" s="9">
        <f>ведомство!K1387</f>
        <v>270</v>
      </c>
      <c r="I923" s="9">
        <f t="shared" si="504"/>
        <v>100</v>
      </c>
      <c r="J923" s="9">
        <f t="shared" si="505"/>
        <v>100</v>
      </c>
    </row>
    <row r="924" spans="1:10" ht="38.25">
      <c r="A924" s="8" t="s">
        <v>544</v>
      </c>
      <c r="B924" s="1" t="s">
        <v>545</v>
      </c>
      <c r="C924" s="1" t="s">
        <v>0</v>
      </c>
      <c r="D924" s="9">
        <f>D925</f>
        <v>0</v>
      </c>
      <c r="E924" s="9">
        <f>E925</f>
        <v>0</v>
      </c>
      <c r="F924" s="9">
        <f t="shared" ref="F924:G925" si="508">F925</f>
        <v>0</v>
      </c>
      <c r="G924" s="9">
        <f t="shared" si="508"/>
        <v>0</v>
      </c>
      <c r="H924" s="9">
        <f>H925</f>
        <v>0</v>
      </c>
      <c r="I924" s="9">
        <v>0</v>
      </c>
      <c r="J924" s="9">
        <v>0</v>
      </c>
    </row>
    <row r="925" spans="1:10">
      <c r="A925" s="8" t="s">
        <v>72</v>
      </c>
      <c r="B925" s="1" t="s">
        <v>545</v>
      </c>
      <c r="C925" s="1" t="s">
        <v>73</v>
      </c>
      <c r="D925" s="9">
        <f>D926</f>
        <v>0</v>
      </c>
      <c r="E925" s="9">
        <f>E926</f>
        <v>0</v>
      </c>
      <c r="F925" s="9">
        <f t="shared" si="508"/>
        <v>0</v>
      </c>
      <c r="G925" s="9">
        <f t="shared" si="508"/>
        <v>0</v>
      </c>
      <c r="H925" s="9">
        <f>H926</f>
        <v>0</v>
      </c>
      <c r="I925" s="9">
        <v>0</v>
      </c>
      <c r="J925" s="9">
        <v>0</v>
      </c>
    </row>
    <row r="926" spans="1:10" ht="38.25">
      <c r="A926" s="8" t="s">
        <v>218</v>
      </c>
      <c r="B926" s="1" t="s">
        <v>545</v>
      </c>
      <c r="C926" s="1" t="s">
        <v>219</v>
      </c>
      <c r="D926" s="9">
        <f>ведомство!G1390</f>
        <v>0</v>
      </c>
      <c r="E926" s="9">
        <f>ведомство!H1390</f>
        <v>0</v>
      </c>
      <c r="F926" s="9">
        <f>ведомство!I1390</f>
        <v>0</v>
      </c>
      <c r="G926" s="9">
        <f>ведомство!J1390</f>
        <v>0</v>
      </c>
      <c r="H926" s="9">
        <f>ведомство!K1390</f>
        <v>0</v>
      </c>
      <c r="I926" s="9">
        <v>0</v>
      </c>
      <c r="J926" s="9">
        <v>0</v>
      </c>
    </row>
    <row r="927" spans="1:10" ht="51">
      <c r="A927" s="8" t="s">
        <v>546</v>
      </c>
      <c r="B927" s="1" t="s">
        <v>547</v>
      </c>
      <c r="C927" s="1" t="s">
        <v>0</v>
      </c>
      <c r="D927" s="9">
        <f>D928</f>
        <v>10500</v>
      </c>
      <c r="E927" s="9">
        <f>E928</f>
        <v>4990</v>
      </c>
      <c r="F927" s="9">
        <f t="shared" ref="F927:G928" si="509">F928</f>
        <v>2595.00092</v>
      </c>
      <c r="G927" s="9">
        <f t="shared" si="509"/>
        <v>2582.1069200000002</v>
      </c>
      <c r="H927" s="9">
        <f>H928</f>
        <v>2582.1069200000002</v>
      </c>
      <c r="I927" s="9">
        <f t="shared" si="504"/>
        <v>51.745629659318638</v>
      </c>
      <c r="J927" s="9">
        <f t="shared" si="505"/>
        <v>99.50312156344053</v>
      </c>
    </row>
    <row r="928" spans="1:10">
      <c r="A928" s="8" t="s">
        <v>72</v>
      </c>
      <c r="B928" s="1" t="s">
        <v>547</v>
      </c>
      <c r="C928" s="1" t="s">
        <v>73</v>
      </c>
      <c r="D928" s="9">
        <f>D929</f>
        <v>10500</v>
      </c>
      <c r="E928" s="9">
        <f>E929</f>
        <v>4990</v>
      </c>
      <c r="F928" s="9">
        <f t="shared" si="509"/>
        <v>2595.00092</v>
      </c>
      <c r="G928" s="9">
        <f t="shared" si="509"/>
        <v>2582.1069200000002</v>
      </c>
      <c r="H928" s="9">
        <f>H929</f>
        <v>2582.1069200000002</v>
      </c>
      <c r="I928" s="9">
        <f t="shared" si="504"/>
        <v>51.745629659318638</v>
      </c>
      <c r="J928" s="9">
        <f t="shared" si="505"/>
        <v>99.50312156344053</v>
      </c>
    </row>
    <row r="929" spans="1:10" ht="38.25">
      <c r="A929" s="8" t="s">
        <v>218</v>
      </c>
      <c r="B929" s="1" t="s">
        <v>547</v>
      </c>
      <c r="C929" s="1" t="s">
        <v>219</v>
      </c>
      <c r="D929" s="9">
        <f>ведомство!G1393</f>
        <v>10500</v>
      </c>
      <c r="E929" s="9">
        <f>ведомство!H1393</f>
        <v>4990</v>
      </c>
      <c r="F929" s="9">
        <f>ведомство!I1393</f>
        <v>2595.00092</v>
      </c>
      <c r="G929" s="9">
        <f>ведомство!J1393</f>
        <v>2582.1069200000002</v>
      </c>
      <c r="H929" s="9">
        <f>ведомство!K1393</f>
        <v>2582.1069200000002</v>
      </c>
      <c r="I929" s="9">
        <f t="shared" si="504"/>
        <v>51.745629659318638</v>
      </c>
      <c r="J929" s="9">
        <f t="shared" si="505"/>
        <v>99.50312156344053</v>
      </c>
    </row>
    <row r="930" spans="1:10" ht="51" hidden="1">
      <c r="A930" s="8" t="s">
        <v>548</v>
      </c>
      <c r="B930" s="1" t="s">
        <v>549</v>
      </c>
      <c r="C930" s="1" t="s">
        <v>0</v>
      </c>
      <c r="D930" s="9">
        <f>D931</f>
        <v>0</v>
      </c>
      <c r="E930" s="9">
        <f>E931</f>
        <v>0</v>
      </c>
      <c r="F930" s="9">
        <f t="shared" ref="F930:G931" si="510">F931</f>
        <v>0</v>
      </c>
      <c r="G930" s="9">
        <f t="shared" si="510"/>
        <v>0</v>
      </c>
      <c r="H930" s="9">
        <f>H931</f>
        <v>0</v>
      </c>
      <c r="I930" s="9" t="e">
        <f t="shared" si="504"/>
        <v>#DIV/0!</v>
      </c>
      <c r="J930" s="9">
        <v>0</v>
      </c>
    </row>
    <row r="931" spans="1:10" hidden="1">
      <c r="A931" s="8" t="s">
        <v>72</v>
      </c>
      <c r="B931" s="1" t="s">
        <v>549</v>
      </c>
      <c r="C931" s="1" t="s">
        <v>73</v>
      </c>
      <c r="D931" s="9">
        <f>D932</f>
        <v>0</v>
      </c>
      <c r="E931" s="9">
        <f>E932</f>
        <v>0</v>
      </c>
      <c r="F931" s="9">
        <f t="shared" si="510"/>
        <v>0</v>
      </c>
      <c r="G931" s="9">
        <f t="shared" si="510"/>
        <v>0</v>
      </c>
      <c r="H931" s="9">
        <f>H932</f>
        <v>0</v>
      </c>
      <c r="I931" s="9" t="e">
        <f t="shared" si="504"/>
        <v>#DIV/0!</v>
      </c>
      <c r="J931" s="9">
        <v>0</v>
      </c>
    </row>
    <row r="932" spans="1:10" ht="38.25" hidden="1">
      <c r="A932" s="8" t="s">
        <v>218</v>
      </c>
      <c r="B932" s="1" t="s">
        <v>549</v>
      </c>
      <c r="C932" s="1" t="s">
        <v>219</v>
      </c>
      <c r="D932" s="9">
        <f>ведомство!G1396</f>
        <v>0</v>
      </c>
      <c r="E932" s="9">
        <f>ведомство!H1396</f>
        <v>0</v>
      </c>
      <c r="F932" s="9">
        <f>ведомство!I1396</f>
        <v>0</v>
      </c>
      <c r="G932" s="9">
        <f>ведомство!J1396</f>
        <v>0</v>
      </c>
      <c r="H932" s="9">
        <f>ведомство!K1396</f>
        <v>0</v>
      </c>
      <c r="I932" s="9" t="e">
        <f t="shared" si="504"/>
        <v>#DIV/0!</v>
      </c>
      <c r="J932" s="9">
        <v>0</v>
      </c>
    </row>
    <row r="933" spans="1:10" ht="38.25">
      <c r="A933" s="8" t="s">
        <v>550</v>
      </c>
      <c r="B933" s="1" t="s">
        <v>551</v>
      </c>
      <c r="C933" s="1" t="s">
        <v>0</v>
      </c>
      <c r="D933" s="9">
        <f>D934</f>
        <v>500</v>
      </c>
      <c r="E933" s="9">
        <f>E934</f>
        <v>500</v>
      </c>
      <c r="F933" s="9">
        <f t="shared" ref="F933:G934" si="511">F934</f>
        <v>330</v>
      </c>
      <c r="G933" s="9">
        <f t="shared" si="511"/>
        <v>257.351</v>
      </c>
      <c r="H933" s="9">
        <f>H934</f>
        <v>257.351</v>
      </c>
      <c r="I933" s="9">
        <f t="shared" si="504"/>
        <v>51.470199999999998</v>
      </c>
      <c r="J933" s="9">
        <f t="shared" si="505"/>
        <v>77.985151515151514</v>
      </c>
    </row>
    <row r="934" spans="1:10">
      <c r="A934" s="8" t="s">
        <v>72</v>
      </c>
      <c r="B934" s="1" t="s">
        <v>551</v>
      </c>
      <c r="C934" s="1" t="s">
        <v>73</v>
      </c>
      <c r="D934" s="9">
        <f>D935</f>
        <v>500</v>
      </c>
      <c r="E934" s="9">
        <f>E935</f>
        <v>500</v>
      </c>
      <c r="F934" s="9">
        <f t="shared" si="511"/>
        <v>330</v>
      </c>
      <c r="G934" s="9">
        <f t="shared" si="511"/>
        <v>257.351</v>
      </c>
      <c r="H934" s="9">
        <f>H935</f>
        <v>257.351</v>
      </c>
      <c r="I934" s="9">
        <f t="shared" si="504"/>
        <v>51.470199999999998</v>
      </c>
      <c r="J934" s="9">
        <f t="shared" si="505"/>
        <v>77.985151515151514</v>
      </c>
    </row>
    <row r="935" spans="1:10" ht="38.25">
      <c r="A935" s="8" t="s">
        <v>218</v>
      </c>
      <c r="B935" s="1" t="s">
        <v>551</v>
      </c>
      <c r="C935" s="1" t="s">
        <v>219</v>
      </c>
      <c r="D935" s="9">
        <f>ведомство!G1399</f>
        <v>500</v>
      </c>
      <c r="E935" s="9">
        <f>ведомство!H1399</f>
        <v>500</v>
      </c>
      <c r="F935" s="9">
        <f>ведомство!I1399</f>
        <v>330</v>
      </c>
      <c r="G935" s="9">
        <f>ведомство!J1399</f>
        <v>257.351</v>
      </c>
      <c r="H935" s="9">
        <f>ведомство!K1399</f>
        <v>257.351</v>
      </c>
      <c r="I935" s="9">
        <f t="shared" si="504"/>
        <v>51.470199999999998</v>
      </c>
      <c r="J935" s="9">
        <f t="shared" si="505"/>
        <v>77.985151515151514</v>
      </c>
    </row>
    <row r="936" spans="1:10">
      <c r="A936" s="8" t="s">
        <v>552</v>
      </c>
      <c r="B936" s="1" t="s">
        <v>553</v>
      </c>
      <c r="C936" s="1" t="s">
        <v>0</v>
      </c>
      <c r="D936" s="9">
        <f>D937</f>
        <v>6000</v>
      </c>
      <c r="E936" s="9">
        <f>E937</f>
        <v>6000</v>
      </c>
      <c r="F936" s="9">
        <f t="shared" ref="F936:G937" si="512">F937</f>
        <v>6000</v>
      </c>
      <c r="G936" s="9">
        <f t="shared" si="512"/>
        <v>6000</v>
      </c>
      <c r="H936" s="9">
        <f>H937</f>
        <v>6000</v>
      </c>
      <c r="I936" s="9">
        <f t="shared" si="504"/>
        <v>100</v>
      </c>
      <c r="J936" s="9">
        <f t="shared" si="505"/>
        <v>100</v>
      </c>
    </row>
    <row r="937" spans="1:10">
      <c r="A937" s="8" t="s">
        <v>72</v>
      </c>
      <c r="B937" s="1" t="s">
        <v>553</v>
      </c>
      <c r="C937" s="1" t="s">
        <v>73</v>
      </c>
      <c r="D937" s="9">
        <f>D938</f>
        <v>6000</v>
      </c>
      <c r="E937" s="9">
        <f>E938</f>
        <v>6000</v>
      </c>
      <c r="F937" s="9">
        <f t="shared" si="512"/>
        <v>6000</v>
      </c>
      <c r="G937" s="9">
        <f t="shared" si="512"/>
        <v>6000</v>
      </c>
      <c r="H937" s="9">
        <f>H938</f>
        <v>6000</v>
      </c>
      <c r="I937" s="9">
        <f t="shared" si="504"/>
        <v>100</v>
      </c>
      <c r="J937" s="9">
        <f t="shared" si="505"/>
        <v>100</v>
      </c>
    </row>
    <row r="938" spans="1:10" ht="38.25">
      <c r="A938" s="8" t="s">
        <v>218</v>
      </c>
      <c r="B938" s="1" t="s">
        <v>553</v>
      </c>
      <c r="C938" s="1" t="s">
        <v>219</v>
      </c>
      <c r="D938" s="9">
        <f>ведомство!G1402</f>
        <v>6000</v>
      </c>
      <c r="E938" s="9">
        <f>ведомство!H1402</f>
        <v>6000</v>
      </c>
      <c r="F938" s="9">
        <f>ведомство!I1402</f>
        <v>6000</v>
      </c>
      <c r="G938" s="9">
        <f>ведомство!J1402</f>
        <v>6000</v>
      </c>
      <c r="H938" s="9">
        <f>ведомство!K1402</f>
        <v>6000</v>
      </c>
      <c r="I938" s="9">
        <f t="shared" si="504"/>
        <v>100</v>
      </c>
      <c r="J938" s="9">
        <f t="shared" si="505"/>
        <v>100</v>
      </c>
    </row>
    <row r="939" spans="1:10">
      <c r="A939" s="8" t="s">
        <v>554</v>
      </c>
      <c r="B939" s="1" t="s">
        <v>555</v>
      </c>
      <c r="C939" s="1" t="s">
        <v>0</v>
      </c>
      <c r="D939" s="9">
        <f>D940</f>
        <v>12000</v>
      </c>
      <c r="E939" s="9">
        <f>E940</f>
        <v>12000</v>
      </c>
      <c r="F939" s="9">
        <f t="shared" ref="F939:G940" si="513">F940</f>
        <v>2960.9</v>
      </c>
      <c r="G939" s="9">
        <f t="shared" si="513"/>
        <v>2960.9</v>
      </c>
      <c r="H939" s="9">
        <f>H940</f>
        <v>2960.9</v>
      </c>
      <c r="I939" s="9">
        <f t="shared" si="504"/>
        <v>24.674166666666668</v>
      </c>
      <c r="J939" s="9">
        <f t="shared" si="505"/>
        <v>100</v>
      </c>
    </row>
    <row r="940" spans="1:10">
      <c r="A940" s="8" t="s">
        <v>72</v>
      </c>
      <c r="B940" s="1" t="s">
        <v>555</v>
      </c>
      <c r="C940" s="1" t="s">
        <v>73</v>
      </c>
      <c r="D940" s="9">
        <f>D941</f>
        <v>12000</v>
      </c>
      <c r="E940" s="9">
        <f>E941</f>
        <v>12000</v>
      </c>
      <c r="F940" s="9">
        <f t="shared" si="513"/>
        <v>2960.9</v>
      </c>
      <c r="G940" s="9">
        <f t="shared" si="513"/>
        <v>2960.9</v>
      </c>
      <c r="H940" s="9">
        <f>H941</f>
        <v>2960.9</v>
      </c>
      <c r="I940" s="9">
        <f t="shared" si="504"/>
        <v>24.674166666666668</v>
      </c>
      <c r="J940" s="9">
        <f t="shared" si="505"/>
        <v>100</v>
      </c>
    </row>
    <row r="941" spans="1:10" ht="38.25">
      <c r="A941" s="8" t="s">
        <v>218</v>
      </c>
      <c r="B941" s="1" t="s">
        <v>555</v>
      </c>
      <c r="C941" s="1" t="s">
        <v>219</v>
      </c>
      <c r="D941" s="9">
        <f>ведомство!G1405</f>
        <v>12000</v>
      </c>
      <c r="E941" s="9">
        <f>ведомство!H1405</f>
        <v>12000</v>
      </c>
      <c r="F941" s="9">
        <f>ведомство!I1405</f>
        <v>2960.9</v>
      </c>
      <c r="G941" s="9">
        <f>ведомство!J1405</f>
        <v>2960.9</v>
      </c>
      <c r="H941" s="9">
        <f>ведомство!K1405</f>
        <v>2960.9</v>
      </c>
      <c r="I941" s="9">
        <f t="shared" si="504"/>
        <v>24.674166666666668</v>
      </c>
      <c r="J941" s="9">
        <f t="shared" si="505"/>
        <v>100</v>
      </c>
    </row>
    <row r="942" spans="1:10" ht="38.25">
      <c r="A942" s="8" t="s">
        <v>556</v>
      </c>
      <c r="B942" s="1" t="s">
        <v>557</v>
      </c>
      <c r="C942" s="1" t="s">
        <v>0</v>
      </c>
      <c r="D942" s="9">
        <f>D943</f>
        <v>150</v>
      </c>
      <c r="E942" s="9">
        <f>E943</f>
        <v>150</v>
      </c>
      <c r="F942" s="9">
        <f t="shared" ref="F942:G943" si="514">F943</f>
        <v>24.286999999999999</v>
      </c>
      <c r="G942" s="9">
        <f t="shared" si="514"/>
        <v>24.286999999999999</v>
      </c>
      <c r="H942" s="9">
        <f>H943</f>
        <v>24.286999999999999</v>
      </c>
      <c r="I942" s="9">
        <f t="shared" si="504"/>
        <v>16.191333333333333</v>
      </c>
      <c r="J942" s="9">
        <f t="shared" si="505"/>
        <v>100</v>
      </c>
    </row>
    <row r="943" spans="1:10">
      <c r="A943" s="8" t="s">
        <v>72</v>
      </c>
      <c r="B943" s="1" t="s">
        <v>557</v>
      </c>
      <c r="C943" s="1" t="s">
        <v>73</v>
      </c>
      <c r="D943" s="9">
        <f>D944</f>
        <v>150</v>
      </c>
      <c r="E943" s="9">
        <f>E944</f>
        <v>150</v>
      </c>
      <c r="F943" s="9">
        <f t="shared" si="514"/>
        <v>24.286999999999999</v>
      </c>
      <c r="G943" s="9">
        <f t="shared" si="514"/>
        <v>24.286999999999999</v>
      </c>
      <c r="H943" s="9">
        <f>H944</f>
        <v>24.286999999999999</v>
      </c>
      <c r="I943" s="9">
        <f t="shared" si="504"/>
        <v>16.191333333333333</v>
      </c>
      <c r="J943" s="9">
        <f t="shared" si="505"/>
        <v>100</v>
      </c>
    </row>
    <row r="944" spans="1:10" ht="38.25">
      <c r="A944" s="8" t="s">
        <v>218</v>
      </c>
      <c r="B944" s="1" t="s">
        <v>557</v>
      </c>
      <c r="C944" s="1" t="s">
        <v>219</v>
      </c>
      <c r="D944" s="9">
        <f>ведомство!G1408</f>
        <v>150</v>
      </c>
      <c r="E944" s="9">
        <f>ведомство!H1408</f>
        <v>150</v>
      </c>
      <c r="F944" s="9">
        <f>ведомство!I1408</f>
        <v>24.286999999999999</v>
      </c>
      <c r="G944" s="9">
        <f>ведомство!J1408</f>
        <v>24.286999999999999</v>
      </c>
      <c r="H944" s="9">
        <f>ведомство!K1408</f>
        <v>24.286999999999999</v>
      </c>
      <c r="I944" s="9">
        <f t="shared" si="504"/>
        <v>16.191333333333333</v>
      </c>
      <c r="J944" s="9">
        <f t="shared" si="505"/>
        <v>100</v>
      </c>
    </row>
    <row r="945" spans="1:10" ht="51">
      <c r="A945" s="8" t="s">
        <v>558</v>
      </c>
      <c r="B945" s="1" t="s">
        <v>559</v>
      </c>
      <c r="C945" s="1" t="s">
        <v>0</v>
      </c>
      <c r="D945" s="9">
        <f>D946</f>
        <v>100</v>
      </c>
      <c r="E945" s="9">
        <f>E946</f>
        <v>100</v>
      </c>
      <c r="F945" s="9">
        <f t="shared" ref="F945:G946" si="515">F946</f>
        <v>0</v>
      </c>
      <c r="G945" s="9">
        <f t="shared" si="515"/>
        <v>0</v>
      </c>
      <c r="H945" s="9">
        <f>H946</f>
        <v>0</v>
      </c>
      <c r="I945" s="9">
        <f t="shared" si="504"/>
        <v>0</v>
      </c>
      <c r="J945" s="9">
        <v>0</v>
      </c>
    </row>
    <row r="946" spans="1:10">
      <c r="A946" s="8" t="s">
        <v>72</v>
      </c>
      <c r="B946" s="1" t="s">
        <v>559</v>
      </c>
      <c r="C946" s="1" t="s">
        <v>73</v>
      </c>
      <c r="D946" s="9">
        <f>D947</f>
        <v>100</v>
      </c>
      <c r="E946" s="9">
        <f>E947</f>
        <v>100</v>
      </c>
      <c r="F946" s="9">
        <f t="shared" si="515"/>
        <v>0</v>
      </c>
      <c r="G946" s="9">
        <f t="shared" si="515"/>
        <v>0</v>
      </c>
      <c r="H946" s="9">
        <f>H947</f>
        <v>0</v>
      </c>
      <c r="I946" s="9">
        <f t="shared" si="504"/>
        <v>0</v>
      </c>
      <c r="J946" s="9">
        <v>0</v>
      </c>
    </row>
    <row r="947" spans="1:10" ht="38.25">
      <c r="A947" s="8" t="s">
        <v>218</v>
      </c>
      <c r="B947" s="1" t="s">
        <v>559</v>
      </c>
      <c r="C947" s="1" t="s">
        <v>219</v>
      </c>
      <c r="D947" s="9">
        <f>ведомство!G1411</f>
        <v>100</v>
      </c>
      <c r="E947" s="9">
        <f>ведомство!H1411</f>
        <v>100</v>
      </c>
      <c r="F947" s="9">
        <f>ведомство!I1411</f>
        <v>0</v>
      </c>
      <c r="G947" s="9">
        <f>ведомство!J1411</f>
        <v>0</v>
      </c>
      <c r="H947" s="9">
        <f>ведомство!K1411</f>
        <v>0</v>
      </c>
      <c r="I947" s="9">
        <f t="shared" si="504"/>
        <v>0</v>
      </c>
      <c r="J947" s="9">
        <v>0</v>
      </c>
    </row>
    <row r="948" spans="1:10" ht="38.25">
      <c r="A948" s="8" t="s">
        <v>560</v>
      </c>
      <c r="B948" s="1" t="s">
        <v>561</v>
      </c>
      <c r="C948" s="1" t="s">
        <v>0</v>
      </c>
      <c r="D948" s="9">
        <f>D949</f>
        <v>3000</v>
      </c>
      <c r="E948" s="9">
        <f>E949</f>
        <v>3000</v>
      </c>
      <c r="F948" s="9">
        <f t="shared" ref="F948:G949" si="516">F949</f>
        <v>1006.032</v>
      </c>
      <c r="G948" s="9">
        <f t="shared" si="516"/>
        <v>1006.032</v>
      </c>
      <c r="H948" s="9">
        <f>H949</f>
        <v>1006.032</v>
      </c>
      <c r="I948" s="9">
        <f t="shared" si="504"/>
        <v>33.534400000000005</v>
      </c>
      <c r="J948" s="9">
        <f t="shared" si="505"/>
        <v>100</v>
      </c>
    </row>
    <row r="949" spans="1:10">
      <c r="A949" s="8" t="s">
        <v>72</v>
      </c>
      <c r="B949" s="1" t="s">
        <v>561</v>
      </c>
      <c r="C949" s="1" t="s">
        <v>73</v>
      </c>
      <c r="D949" s="9">
        <f>D950</f>
        <v>3000</v>
      </c>
      <c r="E949" s="9">
        <f>E950</f>
        <v>3000</v>
      </c>
      <c r="F949" s="9">
        <f t="shared" si="516"/>
        <v>1006.032</v>
      </c>
      <c r="G949" s="9">
        <f t="shared" si="516"/>
        <v>1006.032</v>
      </c>
      <c r="H949" s="9">
        <f>H950</f>
        <v>1006.032</v>
      </c>
      <c r="I949" s="9">
        <f t="shared" si="504"/>
        <v>33.534400000000005</v>
      </c>
      <c r="J949" s="9">
        <f t="shared" si="505"/>
        <v>100</v>
      </c>
    </row>
    <row r="950" spans="1:10" ht="38.25">
      <c r="A950" s="8" t="s">
        <v>218</v>
      </c>
      <c r="B950" s="1" t="s">
        <v>561</v>
      </c>
      <c r="C950" s="1" t="s">
        <v>219</v>
      </c>
      <c r="D950" s="9">
        <f>ведомство!G1414</f>
        <v>3000</v>
      </c>
      <c r="E950" s="9">
        <f>ведомство!H1414</f>
        <v>3000</v>
      </c>
      <c r="F950" s="9">
        <f>ведомство!I1414</f>
        <v>1006.032</v>
      </c>
      <c r="G950" s="9">
        <f>ведомство!J1414</f>
        <v>1006.032</v>
      </c>
      <c r="H950" s="9">
        <f>ведомство!K1414</f>
        <v>1006.032</v>
      </c>
      <c r="I950" s="9">
        <f t="shared" si="504"/>
        <v>33.534400000000005</v>
      </c>
      <c r="J950" s="9">
        <f t="shared" si="505"/>
        <v>100</v>
      </c>
    </row>
    <row r="951" spans="1:10" ht="38.25">
      <c r="A951" s="8" t="s">
        <v>562</v>
      </c>
      <c r="B951" s="1" t="s">
        <v>563</v>
      </c>
      <c r="C951" s="1" t="s">
        <v>0</v>
      </c>
      <c r="D951" s="9">
        <f>D952</f>
        <v>500</v>
      </c>
      <c r="E951" s="9">
        <f>E952</f>
        <v>500</v>
      </c>
      <c r="F951" s="9">
        <f t="shared" ref="F951:G952" si="517">F952</f>
        <v>500</v>
      </c>
      <c r="G951" s="9">
        <f t="shared" si="517"/>
        <v>0</v>
      </c>
      <c r="H951" s="9">
        <f>H952</f>
        <v>0</v>
      </c>
      <c r="I951" s="9">
        <f t="shared" si="504"/>
        <v>0</v>
      </c>
      <c r="J951" s="9">
        <v>0</v>
      </c>
    </row>
    <row r="952" spans="1:10">
      <c r="A952" s="8" t="s">
        <v>72</v>
      </c>
      <c r="B952" s="1" t="s">
        <v>563</v>
      </c>
      <c r="C952" s="1" t="s">
        <v>73</v>
      </c>
      <c r="D952" s="9">
        <f>D953</f>
        <v>500</v>
      </c>
      <c r="E952" s="9">
        <f>E953</f>
        <v>500</v>
      </c>
      <c r="F952" s="9">
        <f t="shared" si="517"/>
        <v>500</v>
      </c>
      <c r="G952" s="9">
        <f t="shared" si="517"/>
        <v>0</v>
      </c>
      <c r="H952" s="9">
        <f>H953</f>
        <v>0</v>
      </c>
      <c r="I952" s="9">
        <f t="shared" si="504"/>
        <v>0</v>
      </c>
      <c r="J952" s="9">
        <v>0</v>
      </c>
    </row>
    <row r="953" spans="1:10" ht="38.25">
      <c r="A953" s="8" t="s">
        <v>218</v>
      </c>
      <c r="B953" s="1" t="s">
        <v>563</v>
      </c>
      <c r="C953" s="1" t="s">
        <v>219</v>
      </c>
      <c r="D953" s="9">
        <f>ведомство!G1417</f>
        <v>500</v>
      </c>
      <c r="E953" s="9">
        <f>ведомство!H1417</f>
        <v>500</v>
      </c>
      <c r="F953" s="9">
        <f>ведомство!I1417</f>
        <v>500</v>
      </c>
      <c r="G953" s="9">
        <f>ведомство!J1417</f>
        <v>0</v>
      </c>
      <c r="H953" s="9">
        <f>ведомство!K1417</f>
        <v>0</v>
      </c>
      <c r="I953" s="9">
        <f t="shared" si="504"/>
        <v>0</v>
      </c>
      <c r="J953" s="9">
        <v>0</v>
      </c>
    </row>
    <row r="954" spans="1:10" ht="38.25">
      <c r="A954" s="8" t="s">
        <v>564</v>
      </c>
      <c r="B954" s="1" t="s">
        <v>565</v>
      </c>
      <c r="C954" s="1" t="s">
        <v>0</v>
      </c>
      <c r="D954" s="9">
        <f>D955</f>
        <v>5000</v>
      </c>
      <c r="E954" s="9">
        <f>E955</f>
        <v>5000</v>
      </c>
      <c r="F954" s="9">
        <f t="shared" ref="F954:G955" si="518">F955</f>
        <v>1093.8599999999999</v>
      </c>
      <c r="G954" s="9">
        <f t="shared" si="518"/>
        <v>1093.8599999999999</v>
      </c>
      <c r="H954" s="9">
        <f>H955</f>
        <v>1093.8599999999999</v>
      </c>
      <c r="I954" s="9">
        <f t="shared" si="504"/>
        <v>21.877199999999995</v>
      </c>
      <c r="J954" s="9">
        <f t="shared" si="505"/>
        <v>100</v>
      </c>
    </row>
    <row r="955" spans="1:10">
      <c r="A955" s="8" t="s">
        <v>72</v>
      </c>
      <c r="B955" s="1" t="s">
        <v>565</v>
      </c>
      <c r="C955" s="1" t="s">
        <v>73</v>
      </c>
      <c r="D955" s="9">
        <f>D956</f>
        <v>5000</v>
      </c>
      <c r="E955" s="9">
        <f>E956</f>
        <v>5000</v>
      </c>
      <c r="F955" s="9">
        <f t="shared" si="518"/>
        <v>1093.8599999999999</v>
      </c>
      <c r="G955" s="9">
        <f t="shared" si="518"/>
        <v>1093.8599999999999</v>
      </c>
      <c r="H955" s="9">
        <f>H956</f>
        <v>1093.8599999999999</v>
      </c>
      <c r="I955" s="9">
        <f t="shared" si="504"/>
        <v>21.877199999999995</v>
      </c>
      <c r="J955" s="9">
        <f t="shared" si="505"/>
        <v>100</v>
      </c>
    </row>
    <row r="956" spans="1:10" ht="38.25">
      <c r="A956" s="8" t="s">
        <v>218</v>
      </c>
      <c r="B956" s="1" t="s">
        <v>565</v>
      </c>
      <c r="C956" s="1" t="s">
        <v>219</v>
      </c>
      <c r="D956" s="9">
        <f>ведомство!G1420</f>
        <v>5000</v>
      </c>
      <c r="E956" s="9">
        <f>ведомство!H1420</f>
        <v>5000</v>
      </c>
      <c r="F956" s="9">
        <f>ведомство!I1420</f>
        <v>1093.8599999999999</v>
      </c>
      <c r="G956" s="9">
        <f>ведомство!J1420</f>
        <v>1093.8599999999999</v>
      </c>
      <c r="H956" s="9">
        <f>ведомство!K1420</f>
        <v>1093.8599999999999</v>
      </c>
      <c r="I956" s="9">
        <f t="shared" si="504"/>
        <v>21.877199999999995</v>
      </c>
      <c r="J956" s="9">
        <f t="shared" si="505"/>
        <v>100</v>
      </c>
    </row>
    <row r="957" spans="1:10" ht="25.5">
      <c r="A957" s="8" t="s">
        <v>566</v>
      </c>
      <c r="B957" s="1" t="s">
        <v>567</v>
      </c>
      <c r="C957" s="1" t="s">
        <v>0</v>
      </c>
      <c r="D957" s="9">
        <f>D958</f>
        <v>2100</v>
      </c>
      <c r="E957" s="9">
        <f>E958</f>
        <v>2100</v>
      </c>
      <c r="F957" s="9">
        <f t="shared" ref="F957:G958" si="519">F958</f>
        <v>380.97800000000001</v>
      </c>
      <c r="G957" s="9">
        <f t="shared" si="519"/>
        <v>380.97800000000001</v>
      </c>
      <c r="H957" s="9">
        <f>H958</f>
        <v>380.97800000000001</v>
      </c>
      <c r="I957" s="9">
        <f t="shared" si="504"/>
        <v>18.141809523809524</v>
      </c>
      <c r="J957" s="9">
        <f t="shared" si="505"/>
        <v>100</v>
      </c>
    </row>
    <row r="958" spans="1:10">
      <c r="A958" s="8" t="s">
        <v>72</v>
      </c>
      <c r="B958" s="1" t="s">
        <v>567</v>
      </c>
      <c r="C958" s="1" t="s">
        <v>73</v>
      </c>
      <c r="D958" s="9">
        <f>D959</f>
        <v>2100</v>
      </c>
      <c r="E958" s="9">
        <f>E959</f>
        <v>2100</v>
      </c>
      <c r="F958" s="9">
        <f t="shared" si="519"/>
        <v>380.97800000000001</v>
      </c>
      <c r="G958" s="9">
        <f t="shared" si="519"/>
        <v>380.97800000000001</v>
      </c>
      <c r="H958" s="9">
        <f>H959</f>
        <v>380.97800000000001</v>
      </c>
      <c r="I958" s="9">
        <f t="shared" si="504"/>
        <v>18.141809523809524</v>
      </c>
      <c r="J958" s="9">
        <f t="shared" si="505"/>
        <v>100</v>
      </c>
    </row>
    <row r="959" spans="1:10" ht="38.25">
      <c r="A959" s="8" t="s">
        <v>218</v>
      </c>
      <c r="B959" s="1" t="s">
        <v>567</v>
      </c>
      <c r="C959" s="1" t="s">
        <v>219</v>
      </c>
      <c r="D959" s="9">
        <f>ведомство!G1423</f>
        <v>2100</v>
      </c>
      <c r="E959" s="9">
        <f>ведомство!H1423</f>
        <v>2100</v>
      </c>
      <c r="F959" s="9">
        <f>ведомство!I1423</f>
        <v>380.97800000000001</v>
      </c>
      <c r="G959" s="9">
        <f>ведомство!J1423</f>
        <v>380.97800000000001</v>
      </c>
      <c r="H959" s="9">
        <f>ведомство!K1423</f>
        <v>380.97800000000001</v>
      </c>
      <c r="I959" s="9">
        <f t="shared" si="504"/>
        <v>18.141809523809524</v>
      </c>
      <c r="J959" s="9">
        <f t="shared" si="505"/>
        <v>100</v>
      </c>
    </row>
    <row r="960" spans="1:10" ht="38.25">
      <c r="A960" s="8" t="s">
        <v>568</v>
      </c>
      <c r="B960" s="1" t="s">
        <v>569</v>
      </c>
      <c r="C960" s="1" t="s">
        <v>0</v>
      </c>
      <c r="D960" s="9">
        <f>D961</f>
        <v>11400</v>
      </c>
      <c r="E960" s="9">
        <f>E961</f>
        <v>11400</v>
      </c>
      <c r="F960" s="9">
        <f t="shared" ref="F960:G961" si="520">F961</f>
        <v>8470.0939999999991</v>
      </c>
      <c r="G960" s="9">
        <f t="shared" si="520"/>
        <v>8470.0939999999991</v>
      </c>
      <c r="H960" s="9">
        <f>H961</f>
        <v>8470.0939999999991</v>
      </c>
      <c r="I960" s="9">
        <f t="shared" si="504"/>
        <v>74.299070175438587</v>
      </c>
      <c r="J960" s="9">
        <f t="shared" si="505"/>
        <v>100</v>
      </c>
    </row>
    <row r="961" spans="1:10">
      <c r="A961" s="8" t="s">
        <v>72</v>
      </c>
      <c r="B961" s="1" t="s">
        <v>569</v>
      </c>
      <c r="C961" s="1" t="s">
        <v>73</v>
      </c>
      <c r="D961" s="9">
        <f>D962</f>
        <v>11400</v>
      </c>
      <c r="E961" s="9">
        <f>E962</f>
        <v>11400</v>
      </c>
      <c r="F961" s="9">
        <f t="shared" si="520"/>
        <v>8470.0939999999991</v>
      </c>
      <c r="G961" s="9">
        <f t="shared" si="520"/>
        <v>8470.0939999999991</v>
      </c>
      <c r="H961" s="9">
        <f>H962</f>
        <v>8470.0939999999991</v>
      </c>
      <c r="I961" s="9">
        <f t="shared" si="504"/>
        <v>74.299070175438587</v>
      </c>
      <c r="J961" s="9">
        <f t="shared" si="505"/>
        <v>100</v>
      </c>
    </row>
    <row r="962" spans="1:10" ht="38.25">
      <c r="A962" s="8" t="s">
        <v>218</v>
      </c>
      <c r="B962" s="1" t="s">
        <v>569</v>
      </c>
      <c r="C962" s="1" t="s">
        <v>219</v>
      </c>
      <c r="D962" s="9">
        <f>ведомство!G1426</f>
        <v>11400</v>
      </c>
      <c r="E962" s="9">
        <f>ведомство!H1426</f>
        <v>11400</v>
      </c>
      <c r="F962" s="9">
        <f>ведомство!I1426</f>
        <v>8470.0939999999991</v>
      </c>
      <c r="G962" s="9">
        <f>ведомство!J1426</f>
        <v>8470.0939999999991</v>
      </c>
      <c r="H962" s="9">
        <f>ведомство!K1426</f>
        <v>8470.0939999999991</v>
      </c>
      <c r="I962" s="9">
        <f t="shared" si="504"/>
        <v>74.299070175438587</v>
      </c>
      <c r="J962" s="9">
        <f t="shared" si="505"/>
        <v>100</v>
      </c>
    </row>
    <row r="963" spans="1:10" ht="25.5">
      <c r="A963" s="8" t="s">
        <v>570</v>
      </c>
      <c r="B963" s="1" t="s">
        <v>571</v>
      </c>
      <c r="C963" s="1" t="s">
        <v>0</v>
      </c>
      <c r="D963" s="9">
        <f>D964</f>
        <v>51635</v>
      </c>
      <c r="E963" s="9">
        <f>E964</f>
        <v>51635</v>
      </c>
      <c r="F963" s="9">
        <f t="shared" ref="F963:G964" si="521">F964</f>
        <v>39917.428999999996</v>
      </c>
      <c r="G963" s="9">
        <f t="shared" si="521"/>
        <v>39917.428999999996</v>
      </c>
      <c r="H963" s="9">
        <f>H964</f>
        <v>39917.428999999996</v>
      </c>
      <c r="I963" s="9">
        <f t="shared" si="504"/>
        <v>77.306921661663594</v>
      </c>
      <c r="J963" s="9">
        <f t="shared" si="505"/>
        <v>100</v>
      </c>
    </row>
    <row r="964" spans="1:10">
      <c r="A964" s="8" t="s">
        <v>72</v>
      </c>
      <c r="B964" s="1" t="s">
        <v>571</v>
      </c>
      <c r="C964" s="1" t="s">
        <v>73</v>
      </c>
      <c r="D964" s="9">
        <f>D965</f>
        <v>51635</v>
      </c>
      <c r="E964" s="9">
        <f>E965</f>
        <v>51635</v>
      </c>
      <c r="F964" s="9">
        <f t="shared" si="521"/>
        <v>39917.428999999996</v>
      </c>
      <c r="G964" s="9">
        <f t="shared" si="521"/>
        <v>39917.428999999996</v>
      </c>
      <c r="H964" s="9">
        <f>H965</f>
        <v>39917.428999999996</v>
      </c>
      <c r="I964" s="9">
        <f t="shared" si="504"/>
        <v>77.306921661663594</v>
      </c>
      <c r="J964" s="9">
        <f t="shared" si="505"/>
        <v>100</v>
      </c>
    </row>
    <row r="965" spans="1:10" ht="38.25">
      <c r="A965" s="8" t="s">
        <v>218</v>
      </c>
      <c r="B965" s="1" t="s">
        <v>571</v>
      </c>
      <c r="C965" s="1" t="s">
        <v>219</v>
      </c>
      <c r="D965" s="9">
        <f>ведомство!G1429</f>
        <v>51635</v>
      </c>
      <c r="E965" s="9">
        <f>ведомство!H1429</f>
        <v>51635</v>
      </c>
      <c r="F965" s="9">
        <f>ведомство!I1429</f>
        <v>39917.428999999996</v>
      </c>
      <c r="G965" s="9">
        <f>ведомство!J1429</f>
        <v>39917.428999999996</v>
      </c>
      <c r="H965" s="9">
        <f>ведомство!K1429</f>
        <v>39917.428999999996</v>
      </c>
      <c r="I965" s="9">
        <f t="shared" si="504"/>
        <v>77.306921661663594</v>
      </c>
      <c r="J965" s="9">
        <f t="shared" si="505"/>
        <v>100</v>
      </c>
    </row>
    <row r="966" spans="1:10" ht="63.75">
      <c r="A966" s="8" t="s">
        <v>572</v>
      </c>
      <c r="B966" s="1" t="s">
        <v>573</v>
      </c>
      <c r="C966" s="1" t="s">
        <v>0</v>
      </c>
      <c r="D966" s="9">
        <f>D967</f>
        <v>50</v>
      </c>
      <c r="E966" s="9">
        <f>E967</f>
        <v>50</v>
      </c>
      <c r="F966" s="9">
        <f t="shared" ref="F966:G967" si="522">F967</f>
        <v>0</v>
      </c>
      <c r="G966" s="9">
        <f t="shared" si="522"/>
        <v>0</v>
      </c>
      <c r="H966" s="9">
        <f>H967</f>
        <v>0</v>
      </c>
      <c r="I966" s="9">
        <f t="shared" si="504"/>
        <v>0</v>
      </c>
      <c r="J966" s="9">
        <v>0</v>
      </c>
    </row>
    <row r="967" spans="1:10">
      <c r="A967" s="8" t="s">
        <v>72</v>
      </c>
      <c r="B967" s="1" t="s">
        <v>573</v>
      </c>
      <c r="C967" s="1" t="s">
        <v>73</v>
      </c>
      <c r="D967" s="9">
        <f>D968</f>
        <v>50</v>
      </c>
      <c r="E967" s="9">
        <f>E968</f>
        <v>50</v>
      </c>
      <c r="F967" s="9">
        <f t="shared" si="522"/>
        <v>0</v>
      </c>
      <c r="G967" s="9">
        <f t="shared" si="522"/>
        <v>0</v>
      </c>
      <c r="H967" s="9">
        <f>H968</f>
        <v>0</v>
      </c>
      <c r="I967" s="9">
        <f t="shared" si="504"/>
        <v>0</v>
      </c>
      <c r="J967" s="9">
        <v>0</v>
      </c>
    </row>
    <row r="968" spans="1:10" ht="38.25">
      <c r="A968" s="8" t="s">
        <v>218</v>
      </c>
      <c r="B968" s="1" t="s">
        <v>573</v>
      </c>
      <c r="C968" s="1" t="s">
        <v>219</v>
      </c>
      <c r="D968" s="9">
        <f>ведомство!G1432</f>
        <v>50</v>
      </c>
      <c r="E968" s="9">
        <f>ведомство!H1432</f>
        <v>50</v>
      </c>
      <c r="F968" s="9">
        <f>ведомство!I1432</f>
        <v>0</v>
      </c>
      <c r="G968" s="9">
        <f>ведомство!J1432</f>
        <v>0</v>
      </c>
      <c r="H968" s="9">
        <f>ведомство!K1432</f>
        <v>0</v>
      </c>
      <c r="I968" s="9">
        <f t="shared" si="504"/>
        <v>0</v>
      </c>
      <c r="J968" s="9">
        <v>0</v>
      </c>
    </row>
    <row r="969" spans="1:10" ht="38.25">
      <c r="A969" s="8" t="s">
        <v>574</v>
      </c>
      <c r="B969" s="1" t="s">
        <v>575</v>
      </c>
      <c r="C969" s="1" t="s">
        <v>0</v>
      </c>
      <c r="D969" s="9">
        <f>D970</f>
        <v>2050</v>
      </c>
      <c r="E969" s="9">
        <f>E970</f>
        <v>2050</v>
      </c>
      <c r="F969" s="9">
        <f t="shared" ref="F969:G970" si="523">F970</f>
        <v>1443.9159999999999</v>
      </c>
      <c r="G969" s="9">
        <f t="shared" si="523"/>
        <v>1443.9159999999999</v>
      </c>
      <c r="H969" s="9">
        <f>H970</f>
        <v>1443.9159999999999</v>
      </c>
      <c r="I969" s="9">
        <f t="shared" si="504"/>
        <v>70.434926829268278</v>
      </c>
      <c r="J969" s="9">
        <f t="shared" si="505"/>
        <v>100</v>
      </c>
    </row>
    <row r="970" spans="1:10">
      <c r="A970" s="8" t="s">
        <v>72</v>
      </c>
      <c r="B970" s="1" t="s">
        <v>575</v>
      </c>
      <c r="C970" s="1" t="s">
        <v>73</v>
      </c>
      <c r="D970" s="9">
        <f>D971</f>
        <v>2050</v>
      </c>
      <c r="E970" s="9">
        <f>E971</f>
        <v>2050</v>
      </c>
      <c r="F970" s="9">
        <f t="shared" si="523"/>
        <v>1443.9159999999999</v>
      </c>
      <c r="G970" s="9">
        <f t="shared" si="523"/>
        <v>1443.9159999999999</v>
      </c>
      <c r="H970" s="9">
        <f>H971</f>
        <v>1443.9159999999999</v>
      </c>
      <c r="I970" s="9">
        <f t="shared" si="504"/>
        <v>70.434926829268278</v>
      </c>
      <c r="J970" s="9">
        <f t="shared" si="505"/>
        <v>100</v>
      </c>
    </row>
    <row r="971" spans="1:10" ht="38.25">
      <c r="A971" s="8" t="s">
        <v>218</v>
      </c>
      <c r="B971" s="1" t="s">
        <v>575</v>
      </c>
      <c r="C971" s="1" t="s">
        <v>219</v>
      </c>
      <c r="D971" s="9">
        <f>ведомство!G1435</f>
        <v>2050</v>
      </c>
      <c r="E971" s="9">
        <f>ведомство!H1435</f>
        <v>2050</v>
      </c>
      <c r="F971" s="9">
        <f>ведомство!I1435</f>
        <v>1443.9159999999999</v>
      </c>
      <c r="G971" s="9">
        <f>ведомство!J1435</f>
        <v>1443.9159999999999</v>
      </c>
      <c r="H971" s="9">
        <f>ведомство!K1435</f>
        <v>1443.9159999999999</v>
      </c>
      <c r="I971" s="9">
        <f t="shared" si="504"/>
        <v>70.434926829268278</v>
      </c>
      <c r="J971" s="9">
        <f t="shared" si="505"/>
        <v>100</v>
      </c>
    </row>
    <row r="972" spans="1:10">
      <c r="A972" s="4" t="s">
        <v>0</v>
      </c>
      <c r="B972" s="17" t="s">
        <v>0</v>
      </c>
      <c r="C972" s="5" t="s">
        <v>0</v>
      </c>
      <c r="D972" s="7" t="s">
        <v>0</v>
      </c>
      <c r="E972" s="7" t="s">
        <v>0</v>
      </c>
      <c r="F972" s="7" t="s">
        <v>0</v>
      </c>
      <c r="G972" s="7" t="s">
        <v>0</v>
      </c>
      <c r="H972" s="7" t="s">
        <v>0</v>
      </c>
      <c r="I972" s="7"/>
      <c r="J972" s="7"/>
    </row>
    <row r="973" spans="1:10" ht="25.5">
      <c r="A973" s="4" t="s">
        <v>576</v>
      </c>
      <c r="B973" s="5" t="s">
        <v>577</v>
      </c>
      <c r="C973" s="5" t="s">
        <v>0</v>
      </c>
      <c r="D973" s="7">
        <f>D974+D977+D980+D983</f>
        <v>3433.8</v>
      </c>
      <c r="E973" s="7">
        <f>E974+E977+E980+E983</f>
        <v>3433.8</v>
      </c>
      <c r="F973" s="7">
        <f t="shared" ref="F973:G973" si="524">F974+F977+F980+F983</f>
        <v>1216.9000000000001</v>
      </c>
      <c r="G973" s="7">
        <f t="shared" si="524"/>
        <v>1216.9000000000001</v>
      </c>
      <c r="H973" s="7">
        <f>H974+H977+H980+H983</f>
        <v>1216.9000000000001</v>
      </c>
      <c r="I973" s="7">
        <f t="shared" si="504"/>
        <v>35.438872386277595</v>
      </c>
      <c r="J973" s="7">
        <f t="shared" si="505"/>
        <v>100</v>
      </c>
    </row>
    <row r="974" spans="1:10" ht="76.5">
      <c r="A974" s="8" t="s">
        <v>578</v>
      </c>
      <c r="B974" s="1" t="s">
        <v>579</v>
      </c>
      <c r="C974" s="1" t="s">
        <v>0</v>
      </c>
      <c r="D974" s="9">
        <f>D975</f>
        <v>433.8</v>
      </c>
      <c r="E974" s="9">
        <f>E975</f>
        <v>433.8</v>
      </c>
      <c r="F974" s="9">
        <f t="shared" ref="F974:G975" si="525">F975</f>
        <v>216.9</v>
      </c>
      <c r="G974" s="9">
        <f t="shared" si="525"/>
        <v>216.9</v>
      </c>
      <c r="H974" s="9">
        <f>H975</f>
        <v>216.9</v>
      </c>
      <c r="I974" s="9">
        <f t="shared" si="504"/>
        <v>50</v>
      </c>
      <c r="J974" s="9">
        <f t="shared" si="505"/>
        <v>100</v>
      </c>
    </row>
    <row r="975" spans="1:10" ht="25.5">
      <c r="A975" s="8" t="s">
        <v>64</v>
      </c>
      <c r="B975" s="1" t="s">
        <v>579</v>
      </c>
      <c r="C975" s="1" t="s">
        <v>65</v>
      </c>
      <c r="D975" s="9">
        <f>D976</f>
        <v>433.8</v>
      </c>
      <c r="E975" s="9">
        <f>E976</f>
        <v>433.8</v>
      </c>
      <c r="F975" s="9">
        <f t="shared" si="525"/>
        <v>216.9</v>
      </c>
      <c r="G975" s="9">
        <f t="shared" si="525"/>
        <v>216.9</v>
      </c>
      <c r="H975" s="9">
        <f>H976</f>
        <v>216.9</v>
      </c>
      <c r="I975" s="9">
        <f t="shared" si="504"/>
        <v>50</v>
      </c>
      <c r="J975" s="9">
        <f t="shared" si="505"/>
        <v>100</v>
      </c>
    </row>
    <row r="976" spans="1:10" ht="25.5">
      <c r="A976" s="8" t="s">
        <v>66</v>
      </c>
      <c r="B976" s="1" t="s">
        <v>579</v>
      </c>
      <c r="C976" s="1" t="s">
        <v>67</v>
      </c>
      <c r="D976" s="9">
        <f>ведомство!G1439</f>
        <v>433.8</v>
      </c>
      <c r="E976" s="9">
        <f>ведомство!H1439</f>
        <v>433.8</v>
      </c>
      <c r="F976" s="9">
        <f>ведомство!I1439</f>
        <v>216.9</v>
      </c>
      <c r="G976" s="9">
        <f>ведомство!J1439</f>
        <v>216.9</v>
      </c>
      <c r="H976" s="9">
        <f>ведомство!K1439</f>
        <v>216.9</v>
      </c>
      <c r="I976" s="9">
        <f t="shared" si="504"/>
        <v>50</v>
      </c>
      <c r="J976" s="9">
        <f t="shared" si="505"/>
        <v>100</v>
      </c>
    </row>
    <row r="977" spans="1:10" ht="38.25">
      <c r="A977" s="8" t="s">
        <v>580</v>
      </c>
      <c r="B977" s="1" t="s">
        <v>581</v>
      </c>
      <c r="C977" s="1" t="s">
        <v>0</v>
      </c>
      <c r="D977" s="9">
        <f>D978</f>
        <v>3000</v>
      </c>
      <c r="E977" s="9">
        <f>E978</f>
        <v>3000</v>
      </c>
      <c r="F977" s="9">
        <f t="shared" ref="F977:G978" si="526">F978</f>
        <v>1000</v>
      </c>
      <c r="G977" s="9">
        <f t="shared" si="526"/>
        <v>1000</v>
      </c>
      <c r="H977" s="9">
        <f>H978</f>
        <v>1000</v>
      </c>
      <c r="I977" s="9">
        <f t="shared" si="504"/>
        <v>33.333333333333329</v>
      </c>
      <c r="J977" s="9">
        <f t="shared" si="505"/>
        <v>100</v>
      </c>
    </row>
    <row r="978" spans="1:10">
      <c r="A978" s="8" t="s">
        <v>72</v>
      </c>
      <c r="B978" s="1" t="s">
        <v>581</v>
      </c>
      <c r="C978" s="1" t="s">
        <v>73</v>
      </c>
      <c r="D978" s="9">
        <f>D979</f>
        <v>3000</v>
      </c>
      <c r="E978" s="9">
        <f>E979</f>
        <v>3000</v>
      </c>
      <c r="F978" s="9">
        <f t="shared" si="526"/>
        <v>1000</v>
      </c>
      <c r="G978" s="9">
        <f t="shared" si="526"/>
        <v>1000</v>
      </c>
      <c r="H978" s="9">
        <f>H979</f>
        <v>1000</v>
      </c>
      <c r="I978" s="9">
        <f t="shared" si="504"/>
        <v>33.333333333333329</v>
      </c>
      <c r="J978" s="9">
        <f t="shared" si="505"/>
        <v>100</v>
      </c>
    </row>
    <row r="979" spans="1:10" ht="38.25">
      <c r="A979" s="8" t="s">
        <v>218</v>
      </c>
      <c r="B979" s="1" t="s">
        <v>581</v>
      </c>
      <c r="C979" s="1" t="s">
        <v>219</v>
      </c>
      <c r="D979" s="9">
        <f>ведомство!G1442</f>
        <v>3000</v>
      </c>
      <c r="E979" s="9">
        <f>ведомство!H1442</f>
        <v>3000</v>
      </c>
      <c r="F979" s="9">
        <f>ведомство!I1442</f>
        <v>1000</v>
      </c>
      <c r="G979" s="9">
        <f>ведомство!J1442</f>
        <v>1000</v>
      </c>
      <c r="H979" s="9">
        <f>ведомство!K1442</f>
        <v>1000</v>
      </c>
      <c r="I979" s="9">
        <f t="shared" ref="I979:I1053" si="527">H979/E979*100</f>
        <v>33.333333333333329</v>
      </c>
      <c r="J979" s="9">
        <f t="shared" ref="J979:J1053" si="528">H979/F979*100</f>
        <v>100</v>
      </c>
    </row>
    <row r="980" spans="1:10" ht="38.25">
      <c r="A980" s="8" t="s">
        <v>582</v>
      </c>
      <c r="B980" s="1" t="s">
        <v>583</v>
      </c>
      <c r="C980" s="1" t="s">
        <v>0</v>
      </c>
      <c r="D980" s="9">
        <f>D981</f>
        <v>0</v>
      </c>
      <c r="E980" s="9">
        <f>E981</f>
        <v>0</v>
      </c>
      <c r="F980" s="9">
        <f t="shared" ref="F980:G981" si="529">F981</f>
        <v>0</v>
      </c>
      <c r="G980" s="9">
        <f t="shared" si="529"/>
        <v>0</v>
      </c>
      <c r="H980" s="9">
        <f>H981</f>
        <v>0</v>
      </c>
      <c r="I980" s="9">
        <v>0</v>
      </c>
      <c r="J980" s="9">
        <v>0</v>
      </c>
    </row>
    <row r="981" spans="1:10">
      <c r="A981" s="8" t="s">
        <v>72</v>
      </c>
      <c r="B981" s="1" t="s">
        <v>583</v>
      </c>
      <c r="C981" s="1" t="s">
        <v>73</v>
      </c>
      <c r="D981" s="9">
        <f>D982</f>
        <v>0</v>
      </c>
      <c r="E981" s="9">
        <f>E982</f>
        <v>0</v>
      </c>
      <c r="F981" s="9">
        <f t="shared" si="529"/>
        <v>0</v>
      </c>
      <c r="G981" s="9">
        <f t="shared" si="529"/>
        <v>0</v>
      </c>
      <c r="H981" s="9">
        <f>H982</f>
        <v>0</v>
      </c>
      <c r="I981" s="9">
        <v>0</v>
      </c>
      <c r="J981" s="9">
        <v>0</v>
      </c>
    </row>
    <row r="982" spans="1:10" ht="38.25">
      <c r="A982" s="8" t="s">
        <v>218</v>
      </c>
      <c r="B982" s="1" t="s">
        <v>583</v>
      </c>
      <c r="C982" s="1" t="s">
        <v>219</v>
      </c>
      <c r="D982" s="9">
        <f>ведомство!G1445</f>
        <v>0</v>
      </c>
      <c r="E982" s="9">
        <f>ведомство!H1445</f>
        <v>0</v>
      </c>
      <c r="F982" s="9">
        <f>ведомство!I1445</f>
        <v>0</v>
      </c>
      <c r="G982" s="9">
        <f>ведомство!J1445</f>
        <v>0</v>
      </c>
      <c r="H982" s="9">
        <f>ведомство!K1445</f>
        <v>0</v>
      </c>
      <c r="I982" s="9">
        <v>0</v>
      </c>
      <c r="J982" s="9">
        <v>0</v>
      </c>
    </row>
    <row r="983" spans="1:10" ht="89.25">
      <c r="A983" s="8" t="s">
        <v>584</v>
      </c>
      <c r="B983" s="1" t="s">
        <v>585</v>
      </c>
      <c r="C983" s="1" t="s">
        <v>0</v>
      </c>
      <c r="D983" s="9">
        <f>D984</f>
        <v>0</v>
      </c>
      <c r="E983" s="9">
        <f>E984</f>
        <v>0</v>
      </c>
      <c r="F983" s="9">
        <f t="shared" ref="F983:G984" si="530">F984</f>
        <v>0</v>
      </c>
      <c r="G983" s="9">
        <f t="shared" si="530"/>
        <v>0</v>
      </c>
      <c r="H983" s="9">
        <f>H984</f>
        <v>0</v>
      </c>
      <c r="I983" s="9">
        <v>0</v>
      </c>
      <c r="J983" s="9">
        <v>0</v>
      </c>
    </row>
    <row r="984" spans="1:10">
      <c r="A984" s="8" t="s">
        <v>72</v>
      </c>
      <c r="B984" s="1" t="s">
        <v>585</v>
      </c>
      <c r="C984" s="1" t="s">
        <v>73</v>
      </c>
      <c r="D984" s="9">
        <f>D985</f>
        <v>0</v>
      </c>
      <c r="E984" s="9">
        <f>E985</f>
        <v>0</v>
      </c>
      <c r="F984" s="9">
        <f t="shared" si="530"/>
        <v>0</v>
      </c>
      <c r="G984" s="9">
        <f t="shared" si="530"/>
        <v>0</v>
      </c>
      <c r="H984" s="9">
        <f>H985</f>
        <v>0</v>
      </c>
      <c r="I984" s="9">
        <v>0</v>
      </c>
      <c r="J984" s="9">
        <v>0</v>
      </c>
    </row>
    <row r="985" spans="1:10" ht="38.25">
      <c r="A985" s="8" t="s">
        <v>218</v>
      </c>
      <c r="B985" s="1" t="s">
        <v>585</v>
      </c>
      <c r="C985" s="1" t="s">
        <v>219</v>
      </c>
      <c r="D985" s="9">
        <f>ведомство!G1448</f>
        <v>0</v>
      </c>
      <c r="E985" s="9">
        <f>ведомство!H1448</f>
        <v>0</v>
      </c>
      <c r="F985" s="9">
        <f>ведомство!I1448</f>
        <v>0</v>
      </c>
      <c r="G985" s="9">
        <f>ведомство!J1448</f>
        <v>0</v>
      </c>
      <c r="H985" s="9">
        <f>ведомство!K1448</f>
        <v>0</v>
      </c>
      <c r="I985" s="9">
        <v>0</v>
      </c>
      <c r="J985" s="9">
        <v>0</v>
      </c>
    </row>
    <row r="986" spans="1:10">
      <c r="A986" s="4" t="s">
        <v>0</v>
      </c>
      <c r="B986" s="17" t="s">
        <v>0</v>
      </c>
      <c r="C986" s="5" t="s">
        <v>0</v>
      </c>
      <c r="D986" s="7" t="s">
        <v>0</v>
      </c>
      <c r="E986" s="7" t="s">
        <v>0</v>
      </c>
      <c r="F986" s="7" t="s">
        <v>0</v>
      </c>
      <c r="G986" s="7" t="s">
        <v>0</v>
      </c>
      <c r="H986" s="7" t="s">
        <v>0</v>
      </c>
      <c r="I986" s="7"/>
      <c r="J986" s="7"/>
    </row>
    <row r="987" spans="1:10" ht="25.5">
      <c r="A987" s="4" t="s">
        <v>22</v>
      </c>
      <c r="B987" s="5" t="s">
        <v>486</v>
      </c>
      <c r="C987" s="5" t="s">
        <v>0</v>
      </c>
      <c r="D987" s="7">
        <f>D988+D991+D1002</f>
        <v>240309.80000000002</v>
      </c>
      <c r="E987" s="7">
        <f>E988+E991+E1002</f>
        <v>240309.80000000002</v>
      </c>
      <c r="F987" s="7">
        <f t="shared" ref="F987:G987" si="531">F988+F991+F1002</f>
        <v>184945.13227999999</v>
      </c>
      <c r="G987" s="7">
        <f t="shared" si="531"/>
        <v>184017.24826999998</v>
      </c>
      <c r="H987" s="7">
        <f>H988+H991+H1002</f>
        <v>179565.59203</v>
      </c>
      <c r="I987" s="7">
        <f t="shared" si="527"/>
        <v>74.722542330774687</v>
      </c>
      <c r="J987" s="7">
        <f t="shared" si="528"/>
        <v>97.091277729950974</v>
      </c>
    </row>
    <row r="988" spans="1:10" ht="25.5">
      <c r="A988" s="8" t="s">
        <v>487</v>
      </c>
      <c r="B988" s="1" t="s">
        <v>488</v>
      </c>
      <c r="C988" s="1" t="s">
        <v>0</v>
      </c>
      <c r="D988" s="9">
        <f>D989</f>
        <v>17116</v>
      </c>
      <c r="E988" s="9">
        <f>E989</f>
        <v>17116</v>
      </c>
      <c r="F988" s="9">
        <f t="shared" ref="F988:G989" si="532">F989</f>
        <v>15963.9</v>
      </c>
      <c r="G988" s="9">
        <f t="shared" si="532"/>
        <v>15161.815989999999</v>
      </c>
      <c r="H988" s="9">
        <f>H989</f>
        <v>15131.675450000001</v>
      </c>
      <c r="I988" s="9">
        <f t="shared" si="527"/>
        <v>88.406610481420898</v>
      </c>
      <c r="J988" s="9">
        <f t="shared" si="528"/>
        <v>94.786834357519155</v>
      </c>
    </row>
    <row r="989" spans="1:10">
      <c r="A989" s="8" t="s">
        <v>26</v>
      </c>
      <c r="B989" s="1" t="s">
        <v>488</v>
      </c>
      <c r="C989" s="1" t="s">
        <v>27</v>
      </c>
      <c r="D989" s="9">
        <f>D990</f>
        <v>17116</v>
      </c>
      <c r="E989" s="9">
        <f>E990</f>
        <v>17116</v>
      </c>
      <c r="F989" s="9">
        <f t="shared" si="532"/>
        <v>15963.9</v>
      </c>
      <c r="G989" s="9">
        <f t="shared" si="532"/>
        <v>15161.815989999999</v>
      </c>
      <c r="H989" s="9">
        <f>H990</f>
        <v>15131.675450000001</v>
      </c>
      <c r="I989" s="9">
        <f t="shared" si="527"/>
        <v>88.406610481420898</v>
      </c>
      <c r="J989" s="9">
        <f t="shared" si="528"/>
        <v>94.786834357519155</v>
      </c>
    </row>
    <row r="990" spans="1:10">
      <c r="A990" s="8" t="s">
        <v>28</v>
      </c>
      <c r="B990" s="1" t="s">
        <v>488</v>
      </c>
      <c r="C990" s="1" t="s">
        <v>29</v>
      </c>
      <c r="D990" s="9">
        <f>ведомство!G1260</f>
        <v>17116</v>
      </c>
      <c r="E990" s="9">
        <f>ведомство!H1260</f>
        <v>17116</v>
      </c>
      <c r="F990" s="9">
        <f>ведомство!I1260</f>
        <v>15963.9</v>
      </c>
      <c r="G990" s="9">
        <f>ведомство!J1260</f>
        <v>15161.815989999999</v>
      </c>
      <c r="H990" s="9">
        <f>ведомство!K1260</f>
        <v>15131.675450000001</v>
      </c>
      <c r="I990" s="9">
        <f t="shared" si="527"/>
        <v>88.406610481420898</v>
      </c>
      <c r="J990" s="9">
        <f t="shared" si="528"/>
        <v>94.786834357519155</v>
      </c>
    </row>
    <row r="991" spans="1:10" ht="25.5">
      <c r="A991" s="8" t="s">
        <v>58</v>
      </c>
      <c r="B991" s="1" t="s">
        <v>586</v>
      </c>
      <c r="C991" s="1" t="s">
        <v>0</v>
      </c>
      <c r="D991" s="9">
        <f>D992+D994+D996+D999</f>
        <v>55571.999999999993</v>
      </c>
      <c r="E991" s="9">
        <f>E992+E994+E996+E999</f>
        <v>55572</v>
      </c>
      <c r="F991" s="9">
        <f t="shared" ref="F991:G991" si="533">F992+F994+F996+F999</f>
        <v>43866.082280000002</v>
      </c>
      <c r="G991" s="9">
        <f t="shared" si="533"/>
        <v>43740.282279999999</v>
      </c>
      <c r="H991" s="9">
        <f>H992+H994+H996+H999</f>
        <v>39318.766580000003</v>
      </c>
      <c r="I991" s="9">
        <f t="shared" si="527"/>
        <v>70.752837004246743</v>
      </c>
      <c r="J991" s="9">
        <f t="shared" si="528"/>
        <v>89.633640699950831</v>
      </c>
    </row>
    <row r="992" spans="1:10" ht="51">
      <c r="A992" s="8" t="s">
        <v>60</v>
      </c>
      <c r="B992" s="1" t="s">
        <v>586</v>
      </c>
      <c r="C992" s="1" t="s">
        <v>61</v>
      </c>
      <c r="D992" s="9">
        <f>D993</f>
        <v>53467.299999999996</v>
      </c>
      <c r="E992" s="9">
        <f>E993</f>
        <v>53397.388299999999</v>
      </c>
      <c r="F992" s="9">
        <f t="shared" ref="F992:G992" si="534">F993</f>
        <v>42134.2883</v>
      </c>
      <c r="G992" s="9">
        <f t="shared" si="534"/>
        <v>42134.2883</v>
      </c>
      <c r="H992" s="9">
        <f>H993</f>
        <v>37950.213889999999</v>
      </c>
      <c r="I992" s="9">
        <f t="shared" si="527"/>
        <v>71.071292245205186</v>
      </c>
      <c r="J992" s="9">
        <f t="shared" si="528"/>
        <v>90.069668721567083</v>
      </c>
    </row>
    <row r="993" spans="1:10" ht="25.5">
      <c r="A993" s="8" t="s">
        <v>62</v>
      </c>
      <c r="B993" s="1" t="s">
        <v>586</v>
      </c>
      <c r="C993" s="1" t="s">
        <v>63</v>
      </c>
      <c r="D993" s="9">
        <f>ведомство!G1452+ведомство!G2961</f>
        <v>53467.299999999996</v>
      </c>
      <c r="E993" s="9">
        <f>ведомство!H1452+ведомство!H2961</f>
        <v>53397.388299999999</v>
      </c>
      <c r="F993" s="9">
        <f>ведомство!I1452+ведомство!I2961</f>
        <v>42134.2883</v>
      </c>
      <c r="G993" s="9">
        <f>ведомство!J1452+ведомство!J2961</f>
        <v>42134.2883</v>
      </c>
      <c r="H993" s="9">
        <f>ведомство!K1452+ведомство!K2961</f>
        <v>37950.213889999999</v>
      </c>
      <c r="I993" s="9">
        <f t="shared" si="527"/>
        <v>71.071292245205186</v>
      </c>
      <c r="J993" s="9">
        <f t="shared" si="528"/>
        <v>90.069668721567083</v>
      </c>
    </row>
    <row r="994" spans="1:10" ht="25.5">
      <c r="A994" s="8" t="s">
        <v>64</v>
      </c>
      <c r="B994" s="1" t="s">
        <v>586</v>
      </c>
      <c r="C994" s="1" t="s">
        <v>65</v>
      </c>
      <c r="D994" s="9">
        <f>D995</f>
        <v>2012.6000000000001</v>
      </c>
      <c r="E994" s="9">
        <f>E995</f>
        <v>2012.6000000000001</v>
      </c>
      <c r="F994" s="9">
        <f t="shared" ref="F994:G994" si="535">F995</f>
        <v>1621.5</v>
      </c>
      <c r="G994" s="9">
        <f t="shared" si="535"/>
        <v>1495.6999999999998</v>
      </c>
      <c r="H994" s="9">
        <f>H995</f>
        <v>1258.2685100000001</v>
      </c>
      <c r="I994" s="9">
        <f t="shared" si="527"/>
        <v>62.519552320381599</v>
      </c>
      <c r="J994" s="9">
        <f t="shared" si="528"/>
        <v>77.599044711686716</v>
      </c>
    </row>
    <row r="995" spans="1:10" ht="25.5">
      <c r="A995" s="8" t="s">
        <v>66</v>
      </c>
      <c r="B995" s="1" t="s">
        <v>586</v>
      </c>
      <c r="C995" s="1" t="s">
        <v>67</v>
      </c>
      <c r="D995" s="9">
        <f>ведомство!G1454+ведомство!G2963</f>
        <v>2012.6000000000001</v>
      </c>
      <c r="E995" s="9">
        <f>ведомство!H1454+ведомство!H2963</f>
        <v>2012.6000000000001</v>
      </c>
      <c r="F995" s="9">
        <f>ведомство!I1454+ведомство!I2963</f>
        <v>1621.5</v>
      </c>
      <c r="G995" s="9">
        <f>ведомство!J1454+ведомство!J2963</f>
        <v>1495.6999999999998</v>
      </c>
      <c r="H995" s="9">
        <f>ведомство!K1454+ведомство!K2963</f>
        <v>1258.2685100000001</v>
      </c>
      <c r="I995" s="9">
        <f t="shared" si="527"/>
        <v>62.519552320381599</v>
      </c>
      <c r="J995" s="9">
        <f t="shared" si="528"/>
        <v>77.599044711686716</v>
      </c>
    </row>
    <row r="996" spans="1:10">
      <c r="A996" s="8" t="s">
        <v>68</v>
      </c>
      <c r="B996" s="1" t="s">
        <v>586</v>
      </c>
      <c r="C996" s="1" t="s">
        <v>69</v>
      </c>
      <c r="D996" s="9">
        <f>D998+D997</f>
        <v>60</v>
      </c>
      <c r="E996" s="9">
        <f>E998+E997</f>
        <v>129.90438</v>
      </c>
      <c r="F996" s="9">
        <f t="shared" ref="F996:G996" si="536">F998+F997</f>
        <v>99.904380000000003</v>
      </c>
      <c r="G996" s="9">
        <f t="shared" si="536"/>
        <v>99.904380000000003</v>
      </c>
      <c r="H996" s="9">
        <f>H998+H997</f>
        <v>99.904380000000003</v>
      </c>
      <c r="I996" s="9">
        <f t="shared" si="527"/>
        <v>76.906090464386196</v>
      </c>
      <c r="J996" s="9">
        <f t="shared" si="528"/>
        <v>100</v>
      </c>
    </row>
    <row r="997" spans="1:10" s="42" customFormat="1" ht="25.5">
      <c r="A997" s="8" t="s">
        <v>151</v>
      </c>
      <c r="B997" s="1" t="s">
        <v>586</v>
      </c>
      <c r="C997" s="1">
        <v>320</v>
      </c>
      <c r="D997" s="9">
        <f>ведомство!G1456</f>
        <v>0</v>
      </c>
      <c r="E997" s="9">
        <f>ведомство!H1456</f>
        <v>69.904380000000003</v>
      </c>
      <c r="F997" s="9">
        <f>ведомство!I1456</f>
        <v>69.904380000000003</v>
      </c>
      <c r="G997" s="9">
        <f>ведомство!J1456</f>
        <v>69.904380000000003</v>
      </c>
      <c r="H997" s="9">
        <f>ведомство!K1456</f>
        <v>69.904380000000003</v>
      </c>
      <c r="I997" s="9">
        <f t="shared" ref="I997" si="537">H997/E997*100</f>
        <v>100</v>
      </c>
      <c r="J997" s="9">
        <f t="shared" ref="J997:J998" si="538">H997/F997*100</f>
        <v>100</v>
      </c>
    </row>
    <row r="998" spans="1:10">
      <c r="A998" s="8" t="s">
        <v>70</v>
      </c>
      <c r="B998" s="1" t="s">
        <v>586</v>
      </c>
      <c r="C998" s="1" t="s">
        <v>71</v>
      </c>
      <c r="D998" s="9">
        <f>ведомство!G1457</f>
        <v>60</v>
      </c>
      <c r="E998" s="9">
        <f>ведомство!H1457</f>
        <v>60</v>
      </c>
      <c r="F998" s="9">
        <f>ведомство!I1457</f>
        <v>30</v>
      </c>
      <c r="G998" s="9">
        <f>ведомство!J1457</f>
        <v>30</v>
      </c>
      <c r="H998" s="9">
        <f>ведомство!K1457</f>
        <v>30</v>
      </c>
      <c r="I998" s="9">
        <f t="shared" si="527"/>
        <v>50</v>
      </c>
      <c r="J998" s="9">
        <f t="shared" si="538"/>
        <v>100</v>
      </c>
    </row>
    <row r="999" spans="1:10">
      <c r="A999" s="8" t="s">
        <v>72</v>
      </c>
      <c r="B999" s="1" t="s">
        <v>586</v>
      </c>
      <c r="C999" s="1" t="s">
        <v>73</v>
      </c>
      <c r="D999" s="9">
        <f>D1001+D1000</f>
        <v>32.1</v>
      </c>
      <c r="E999" s="9">
        <f>E1001+E1000</f>
        <v>32.107320000000001</v>
      </c>
      <c r="F999" s="9">
        <f t="shared" ref="F999:G999" si="539">F1001+F1000</f>
        <v>10.3896</v>
      </c>
      <c r="G999" s="9">
        <f t="shared" si="539"/>
        <v>10.3896</v>
      </c>
      <c r="H999" s="9">
        <f>H1001+H1000</f>
        <v>10.379799999999999</v>
      </c>
      <c r="I999" s="9">
        <f t="shared" si="527"/>
        <v>32.328453449244591</v>
      </c>
      <c r="J999" s="9">
        <f t="shared" si="528"/>
        <v>99.9056749056749</v>
      </c>
    </row>
    <row r="1000" spans="1:10" s="42" customFormat="1">
      <c r="A1000" s="8"/>
      <c r="B1000" s="1" t="s">
        <v>586</v>
      </c>
      <c r="C1000" s="1">
        <v>830</v>
      </c>
      <c r="D1000" s="9">
        <f>ведомство!G1459</f>
        <v>4</v>
      </c>
      <c r="E1000" s="9">
        <f>ведомство!H1459</f>
        <v>10.00732</v>
      </c>
      <c r="F1000" s="9">
        <f>ведомство!I1459</f>
        <v>6.00732</v>
      </c>
      <c r="G1000" s="9">
        <f>ведомство!J1459</f>
        <v>6.00732</v>
      </c>
      <c r="H1000" s="9">
        <f>ведомство!K1459</f>
        <v>6</v>
      </c>
      <c r="I1000" s="9">
        <f t="shared" ref="I1000" si="540">H1000/E1000*100</f>
        <v>59.956112125923823</v>
      </c>
      <c r="J1000" s="9">
        <f t="shared" ref="J1000" si="541">H1000/F1000*100</f>
        <v>99.878148658636462</v>
      </c>
    </row>
    <row r="1001" spans="1:10">
      <c r="A1001" s="8" t="s">
        <v>74</v>
      </c>
      <c r="B1001" s="1" t="s">
        <v>586</v>
      </c>
      <c r="C1001" s="1" t="s">
        <v>75</v>
      </c>
      <c r="D1001" s="9">
        <f>ведомство!G1460</f>
        <v>28.1</v>
      </c>
      <c r="E1001" s="9">
        <f>ведомство!H1460</f>
        <v>22.1</v>
      </c>
      <c r="F1001" s="9">
        <f>ведомство!I1460</f>
        <v>4.3822799999999997</v>
      </c>
      <c r="G1001" s="9">
        <f>ведомство!J1460</f>
        <v>4.3822799999999997</v>
      </c>
      <c r="H1001" s="9">
        <f>ведомство!K1460</f>
        <v>4.3798000000000004</v>
      </c>
      <c r="I1001" s="9">
        <f t="shared" si="527"/>
        <v>19.818099547511313</v>
      </c>
      <c r="J1001" s="9">
        <f t="shared" si="528"/>
        <v>99.943408454046761</v>
      </c>
    </row>
    <row r="1002" spans="1:10" ht="25.5">
      <c r="A1002" s="8" t="s">
        <v>76</v>
      </c>
      <c r="B1002" s="1" t="s">
        <v>587</v>
      </c>
      <c r="C1002" s="1" t="s">
        <v>0</v>
      </c>
      <c r="D1002" s="9">
        <f>D1003</f>
        <v>167621.80000000002</v>
      </c>
      <c r="E1002" s="9">
        <f>E1003</f>
        <v>167621.80000000002</v>
      </c>
      <c r="F1002" s="9">
        <f t="shared" ref="F1002:G1003" si="542">F1003</f>
        <v>125115.15</v>
      </c>
      <c r="G1002" s="9">
        <f t="shared" si="542"/>
        <v>125115.15</v>
      </c>
      <c r="H1002" s="9">
        <f>H1003</f>
        <v>125115.15</v>
      </c>
      <c r="I1002" s="9">
        <f t="shared" si="527"/>
        <v>74.641335434889726</v>
      </c>
      <c r="J1002" s="9">
        <f t="shared" si="528"/>
        <v>100</v>
      </c>
    </row>
    <row r="1003" spans="1:10" ht="25.5">
      <c r="A1003" s="8" t="s">
        <v>80</v>
      </c>
      <c r="B1003" s="1" t="s">
        <v>587</v>
      </c>
      <c r="C1003" s="1" t="s">
        <v>81</v>
      </c>
      <c r="D1003" s="9">
        <f>D1004</f>
        <v>167621.80000000002</v>
      </c>
      <c r="E1003" s="9">
        <f>E1004</f>
        <v>167621.80000000002</v>
      </c>
      <c r="F1003" s="9">
        <f t="shared" si="542"/>
        <v>125115.15</v>
      </c>
      <c r="G1003" s="9">
        <f t="shared" si="542"/>
        <v>125115.15</v>
      </c>
      <c r="H1003" s="9">
        <f>H1004</f>
        <v>125115.15</v>
      </c>
      <c r="I1003" s="9">
        <f t="shared" si="527"/>
        <v>74.641335434889726</v>
      </c>
      <c r="J1003" s="9">
        <f t="shared" si="528"/>
        <v>100</v>
      </c>
    </row>
    <row r="1004" spans="1:10">
      <c r="A1004" s="8" t="s">
        <v>271</v>
      </c>
      <c r="B1004" s="1" t="s">
        <v>587</v>
      </c>
      <c r="C1004" s="1" t="s">
        <v>272</v>
      </c>
      <c r="D1004" s="9">
        <f>ведомство!G2966+ведомство!G1463</f>
        <v>167621.80000000002</v>
      </c>
      <c r="E1004" s="9">
        <f>ведомство!H2966+ведомство!H1463</f>
        <v>167621.80000000002</v>
      </c>
      <c r="F1004" s="9">
        <f>ведомство!I2966+ведомство!I1463</f>
        <v>125115.15</v>
      </c>
      <c r="G1004" s="9">
        <f>ведомство!J2966+ведомство!J1463</f>
        <v>125115.15</v>
      </c>
      <c r="H1004" s="9">
        <f>ведомство!K2966+ведомство!K1463</f>
        <v>125115.15</v>
      </c>
      <c r="I1004" s="9">
        <f t="shared" si="527"/>
        <v>74.641335434889726</v>
      </c>
      <c r="J1004" s="9">
        <f t="shared" si="528"/>
        <v>100</v>
      </c>
    </row>
    <row r="1005" spans="1:10">
      <c r="A1005" s="4" t="s">
        <v>0</v>
      </c>
      <c r="B1005" s="17" t="s">
        <v>0</v>
      </c>
      <c r="C1005" s="5" t="s">
        <v>0</v>
      </c>
      <c r="D1005" s="7" t="s">
        <v>0</v>
      </c>
      <c r="E1005" s="7" t="s">
        <v>0</v>
      </c>
      <c r="F1005" s="7" t="s">
        <v>0</v>
      </c>
      <c r="G1005" s="7" t="s">
        <v>0</v>
      </c>
      <c r="H1005" s="7" t="s">
        <v>0</v>
      </c>
      <c r="I1005" s="7"/>
      <c r="J1005" s="7"/>
    </row>
    <row r="1006" spans="1:10" ht="25.5">
      <c r="A1006" s="4" t="s">
        <v>588</v>
      </c>
      <c r="B1006" s="5" t="s">
        <v>589</v>
      </c>
      <c r="C1006" s="5" t="s">
        <v>0</v>
      </c>
      <c r="D1006" s="7">
        <f>D1007+D1010</f>
        <v>5000</v>
      </c>
      <c r="E1006" s="7">
        <f>E1007+E1010</f>
        <v>46341</v>
      </c>
      <c r="F1006" s="7">
        <f t="shared" ref="F1006:G1006" si="543">F1007+F1010</f>
        <v>30299.40539</v>
      </c>
      <c r="G1006" s="7">
        <f t="shared" si="543"/>
        <v>30299.405039000001</v>
      </c>
      <c r="H1006" s="7">
        <f>H1007+H1010</f>
        <v>30299.40539</v>
      </c>
      <c r="I1006" s="7">
        <f t="shared" si="527"/>
        <v>65.383581256338871</v>
      </c>
      <c r="J1006" s="7">
        <f t="shared" si="528"/>
        <v>100</v>
      </c>
    </row>
    <row r="1007" spans="1:10" s="42" customFormat="1" ht="38.25">
      <c r="A1007" s="38" t="s">
        <v>1208</v>
      </c>
      <c r="B1007" s="37" t="s">
        <v>1207</v>
      </c>
      <c r="C1007" s="6"/>
      <c r="D1007" s="22">
        <f>D1008</f>
        <v>0</v>
      </c>
      <c r="E1007" s="22">
        <f>E1008</f>
        <v>41341</v>
      </c>
      <c r="F1007" s="22">
        <f t="shared" ref="F1007:G1008" si="544">F1008</f>
        <v>27099.40539</v>
      </c>
      <c r="G1007" s="22">
        <f t="shared" si="544"/>
        <v>27099.405039000001</v>
      </c>
      <c r="H1007" s="22">
        <f>H1008</f>
        <v>27099.40539</v>
      </c>
      <c r="I1007" s="9">
        <f t="shared" ref="I1007:I1009" si="545">H1007/E1007*100</f>
        <v>65.550918918265154</v>
      </c>
      <c r="J1007" s="9">
        <f t="shared" si="528"/>
        <v>100</v>
      </c>
    </row>
    <row r="1008" spans="1:10" s="42" customFormat="1">
      <c r="A1008" s="8" t="s">
        <v>72</v>
      </c>
      <c r="B1008" s="37" t="s">
        <v>1207</v>
      </c>
      <c r="C1008" s="1" t="s">
        <v>73</v>
      </c>
      <c r="D1008" s="22">
        <f>D1009</f>
        <v>0</v>
      </c>
      <c r="E1008" s="22">
        <f>E1009</f>
        <v>41341</v>
      </c>
      <c r="F1008" s="22">
        <f t="shared" si="544"/>
        <v>27099.40539</v>
      </c>
      <c r="G1008" s="22">
        <f t="shared" si="544"/>
        <v>27099.405039000001</v>
      </c>
      <c r="H1008" s="22">
        <f>H1009</f>
        <v>27099.40539</v>
      </c>
      <c r="I1008" s="9">
        <f t="shared" si="545"/>
        <v>65.550918918265154</v>
      </c>
      <c r="J1008" s="9">
        <f t="shared" si="528"/>
        <v>100</v>
      </c>
    </row>
    <row r="1009" spans="1:10" s="42" customFormat="1" ht="38.25">
      <c r="A1009" s="8" t="s">
        <v>218</v>
      </c>
      <c r="B1009" s="37" t="s">
        <v>1207</v>
      </c>
      <c r="C1009" s="1" t="s">
        <v>219</v>
      </c>
      <c r="D1009" s="22">
        <f>ведомство!G1467</f>
        <v>0</v>
      </c>
      <c r="E1009" s="22">
        <f>ведомство!H1467</f>
        <v>41341</v>
      </c>
      <c r="F1009" s="22">
        <f>ведомство!I1467</f>
        <v>27099.40539</v>
      </c>
      <c r="G1009" s="22">
        <f>ведомство!J1467</f>
        <v>27099.405039000001</v>
      </c>
      <c r="H1009" s="22">
        <f>ведомство!K1467</f>
        <v>27099.40539</v>
      </c>
      <c r="I1009" s="9">
        <f t="shared" si="545"/>
        <v>65.550918918265154</v>
      </c>
      <c r="J1009" s="9">
        <f t="shared" si="528"/>
        <v>100</v>
      </c>
    </row>
    <row r="1010" spans="1:10" ht="38.25">
      <c r="A1010" s="8" t="s">
        <v>590</v>
      </c>
      <c r="B1010" s="1" t="s">
        <v>591</v>
      </c>
      <c r="C1010" s="1" t="s">
        <v>0</v>
      </c>
      <c r="D1010" s="22">
        <f>D1011</f>
        <v>5000</v>
      </c>
      <c r="E1010" s="22">
        <f>E1011</f>
        <v>5000</v>
      </c>
      <c r="F1010" s="22">
        <f t="shared" ref="F1010:G1011" si="546">F1011</f>
        <v>3200</v>
      </c>
      <c r="G1010" s="22">
        <f t="shared" si="546"/>
        <v>3200</v>
      </c>
      <c r="H1010" s="22">
        <f>H1011</f>
        <v>3200</v>
      </c>
      <c r="I1010" s="9">
        <f t="shared" si="527"/>
        <v>64</v>
      </c>
      <c r="J1010" s="9">
        <f t="shared" si="528"/>
        <v>100</v>
      </c>
    </row>
    <row r="1011" spans="1:10">
      <c r="A1011" s="8" t="s">
        <v>72</v>
      </c>
      <c r="B1011" s="1" t="s">
        <v>591</v>
      </c>
      <c r="C1011" s="1" t="s">
        <v>73</v>
      </c>
      <c r="D1011" s="9">
        <f>D1012</f>
        <v>5000</v>
      </c>
      <c r="E1011" s="9">
        <f>E1012</f>
        <v>5000</v>
      </c>
      <c r="F1011" s="9">
        <f t="shared" si="546"/>
        <v>3200</v>
      </c>
      <c r="G1011" s="9">
        <f t="shared" si="546"/>
        <v>3200</v>
      </c>
      <c r="H1011" s="9">
        <f>H1012</f>
        <v>3200</v>
      </c>
      <c r="I1011" s="9">
        <f t="shared" si="527"/>
        <v>64</v>
      </c>
      <c r="J1011" s="9">
        <f t="shared" si="528"/>
        <v>100</v>
      </c>
    </row>
    <row r="1012" spans="1:10" ht="38.25">
      <c r="A1012" s="8" t="s">
        <v>218</v>
      </c>
      <c r="B1012" s="1" t="s">
        <v>591</v>
      </c>
      <c r="C1012" s="1" t="s">
        <v>219</v>
      </c>
      <c r="D1012" s="9">
        <f>ведомство!G1470</f>
        <v>5000</v>
      </c>
      <c r="E1012" s="9">
        <f>ведомство!H1470</f>
        <v>5000</v>
      </c>
      <c r="F1012" s="9">
        <f>ведомство!I1470</f>
        <v>3200</v>
      </c>
      <c r="G1012" s="9">
        <f>ведомство!J1470</f>
        <v>3200</v>
      </c>
      <c r="H1012" s="9">
        <f>ведомство!K1470</f>
        <v>3200</v>
      </c>
      <c r="I1012" s="9">
        <f t="shared" si="527"/>
        <v>64</v>
      </c>
      <c r="J1012" s="9">
        <f t="shared" si="528"/>
        <v>100</v>
      </c>
    </row>
    <row r="1013" spans="1:10">
      <c r="A1013" s="4" t="s">
        <v>0</v>
      </c>
      <c r="B1013" s="17" t="s">
        <v>0</v>
      </c>
      <c r="C1013" s="5" t="s">
        <v>0</v>
      </c>
      <c r="D1013" s="7" t="s">
        <v>0</v>
      </c>
      <c r="E1013" s="7" t="s">
        <v>0</v>
      </c>
      <c r="F1013" s="7" t="s">
        <v>0</v>
      </c>
      <c r="G1013" s="7" t="s">
        <v>0</v>
      </c>
      <c r="H1013" s="7" t="s">
        <v>0</v>
      </c>
      <c r="I1013" s="7"/>
      <c r="J1013" s="7"/>
    </row>
    <row r="1014" spans="1:10" ht="51">
      <c r="A1014" s="4" t="s">
        <v>20</v>
      </c>
      <c r="B1014" s="5" t="s">
        <v>21</v>
      </c>
      <c r="C1014" s="5" t="s">
        <v>0</v>
      </c>
      <c r="D1014" s="7">
        <f>D1015+D1037+D1048</f>
        <v>375159.39999999997</v>
      </c>
      <c r="E1014" s="7">
        <f>E1015+E1037+E1048</f>
        <v>473745.46914999996</v>
      </c>
      <c r="F1014" s="7">
        <f t="shared" ref="F1014:G1014" si="547">F1015+F1037+F1048</f>
        <v>345005.01170999999</v>
      </c>
      <c r="G1014" s="7">
        <f t="shared" si="547"/>
        <v>342276.50880999997</v>
      </c>
      <c r="H1014" s="7">
        <f>H1015+H1037+H1048</f>
        <v>280188.75137000001</v>
      </c>
      <c r="I1014" s="7">
        <f t="shared" si="527"/>
        <v>59.14330998726345</v>
      </c>
      <c r="J1014" s="7">
        <f t="shared" si="528"/>
        <v>81.212951076060762</v>
      </c>
    </row>
    <row r="1015" spans="1:10" ht="25.5">
      <c r="A1015" s="4" t="s">
        <v>52</v>
      </c>
      <c r="B1015" s="5" t="s">
        <v>53</v>
      </c>
      <c r="C1015" s="5" t="s">
        <v>0</v>
      </c>
      <c r="D1015" s="7">
        <f>D1016+D1021+D1024+D1030+D1033+D1027</f>
        <v>150073.69999999998</v>
      </c>
      <c r="E1015" s="7">
        <f>E1016+E1021+E1024+E1030+E1033+E1027</f>
        <v>144997.10045999996</v>
      </c>
      <c r="F1015" s="7">
        <f t="shared" ref="F1015:G1015" si="548">F1016+F1021+F1024+F1030+F1033+F1027</f>
        <v>50095.62947</v>
      </c>
      <c r="G1015" s="7">
        <f t="shared" si="548"/>
        <v>48181.545469999997</v>
      </c>
      <c r="H1015" s="7">
        <f>H1016+H1021+H1024+H1030+H1033+H1027</f>
        <v>48181.545469999997</v>
      </c>
      <c r="I1015" s="7">
        <f t="shared" si="527"/>
        <v>33.229316529189312</v>
      </c>
      <c r="J1015" s="7">
        <f t="shared" si="528"/>
        <v>96.179139736838209</v>
      </c>
    </row>
    <row r="1016" spans="1:10" ht="25.5">
      <c r="A1016" s="8" t="s">
        <v>95</v>
      </c>
      <c r="B1016" s="1" t="s">
        <v>96</v>
      </c>
      <c r="C1016" s="1" t="s">
        <v>0</v>
      </c>
      <c r="D1016" s="9">
        <f>D1017+D1019</f>
        <v>34243.4</v>
      </c>
      <c r="E1016" s="9">
        <f>E1017+E1019</f>
        <v>29166.799999999999</v>
      </c>
      <c r="F1016" s="9">
        <f t="shared" ref="F1016:G1016" si="549">F1017+F1019</f>
        <v>7107.39</v>
      </c>
      <c r="G1016" s="9">
        <f t="shared" si="549"/>
        <v>5193.3059999999996</v>
      </c>
      <c r="H1016" s="9">
        <f>H1017+H1019</f>
        <v>5193.3059999999996</v>
      </c>
      <c r="I1016" s="9">
        <f t="shared" si="527"/>
        <v>17.80553917467806</v>
      </c>
      <c r="J1016" s="9">
        <f t="shared" si="528"/>
        <v>73.069101315672839</v>
      </c>
    </row>
    <row r="1017" spans="1:10">
      <c r="A1017" s="8" t="s">
        <v>68</v>
      </c>
      <c r="B1017" s="1" t="s">
        <v>96</v>
      </c>
      <c r="C1017" s="1" t="s">
        <v>69</v>
      </c>
      <c r="D1017" s="9">
        <f>D1018</f>
        <v>32723.4</v>
      </c>
      <c r="E1017" s="9">
        <f>E1018</f>
        <v>27646.799999999999</v>
      </c>
      <c r="F1017" s="9">
        <f t="shared" ref="F1017:G1017" si="550">F1018</f>
        <v>7107.39</v>
      </c>
      <c r="G1017" s="9">
        <f t="shared" si="550"/>
        <v>5193.3059999999996</v>
      </c>
      <c r="H1017" s="9">
        <f>H1018</f>
        <v>5193.3059999999996</v>
      </c>
      <c r="I1017" s="9">
        <f t="shared" si="527"/>
        <v>18.78447415252398</v>
      </c>
      <c r="J1017" s="9">
        <f t="shared" si="528"/>
        <v>73.069101315672839</v>
      </c>
    </row>
    <row r="1018" spans="1:10" ht="25.5">
      <c r="A1018" s="8" t="s">
        <v>151</v>
      </c>
      <c r="B1018" s="1" t="s">
        <v>96</v>
      </c>
      <c r="C1018" s="1" t="s">
        <v>152</v>
      </c>
      <c r="D1018" s="9">
        <f>ведомство!G208</f>
        <v>32723.4</v>
      </c>
      <c r="E1018" s="9">
        <f>ведомство!H208</f>
        <v>27646.799999999999</v>
      </c>
      <c r="F1018" s="9">
        <f>ведомство!I208</f>
        <v>7107.39</v>
      </c>
      <c r="G1018" s="9">
        <f>ведомство!J208</f>
        <v>5193.3059999999996</v>
      </c>
      <c r="H1018" s="9">
        <f>ведомство!K208</f>
        <v>5193.3059999999996</v>
      </c>
      <c r="I1018" s="9">
        <f t="shared" si="527"/>
        <v>18.78447415252398</v>
      </c>
      <c r="J1018" s="9">
        <f t="shared" si="528"/>
        <v>73.069101315672839</v>
      </c>
    </row>
    <row r="1019" spans="1:10" ht="25.5">
      <c r="A1019" s="8" t="s">
        <v>39</v>
      </c>
      <c r="B1019" s="1" t="s">
        <v>96</v>
      </c>
      <c r="C1019" s="1" t="s">
        <v>40</v>
      </c>
      <c r="D1019" s="9">
        <f>D1020</f>
        <v>1520</v>
      </c>
      <c r="E1019" s="9">
        <f>E1020</f>
        <v>1520</v>
      </c>
      <c r="F1019" s="9">
        <f t="shared" ref="F1019:G1019" si="551">F1020</f>
        <v>0</v>
      </c>
      <c r="G1019" s="9">
        <f t="shared" si="551"/>
        <v>0</v>
      </c>
      <c r="H1019" s="9">
        <f>H1020</f>
        <v>0</v>
      </c>
      <c r="I1019" s="9">
        <f t="shared" si="527"/>
        <v>0</v>
      </c>
      <c r="J1019" s="9">
        <v>0</v>
      </c>
    </row>
    <row r="1020" spans="1:10">
      <c r="A1020" s="8" t="s">
        <v>41</v>
      </c>
      <c r="B1020" s="1" t="s">
        <v>96</v>
      </c>
      <c r="C1020" s="1" t="s">
        <v>42</v>
      </c>
      <c r="D1020" s="9">
        <f>ведомство!G85</f>
        <v>1520</v>
      </c>
      <c r="E1020" s="9">
        <f>ведомство!H85</f>
        <v>1520</v>
      </c>
      <c r="F1020" s="9">
        <f>ведомство!I85</f>
        <v>0</v>
      </c>
      <c r="G1020" s="9">
        <f>ведомство!J85</f>
        <v>0</v>
      </c>
      <c r="H1020" s="9">
        <f>ведомство!K85</f>
        <v>0</v>
      </c>
      <c r="I1020" s="9">
        <f t="shared" si="527"/>
        <v>0</v>
      </c>
      <c r="J1020" s="9">
        <v>0</v>
      </c>
    </row>
    <row r="1021" spans="1:10" ht="38.25">
      <c r="A1021" s="8" t="s">
        <v>37</v>
      </c>
      <c r="B1021" s="1" t="s">
        <v>97</v>
      </c>
      <c r="C1021" s="1" t="s">
        <v>0</v>
      </c>
      <c r="D1021" s="9">
        <f>D1022</f>
        <v>108570.2</v>
      </c>
      <c r="E1021" s="9">
        <f>E1022</f>
        <v>108570.15</v>
      </c>
      <c r="F1021" s="9">
        <f t="shared" ref="F1021:G1022" si="552">F1022</f>
        <v>42646.27147</v>
      </c>
      <c r="G1021" s="9">
        <f t="shared" si="552"/>
        <v>42646.27147</v>
      </c>
      <c r="H1021" s="9">
        <f>H1022</f>
        <v>42646.27147</v>
      </c>
      <c r="I1021" s="9">
        <f t="shared" si="527"/>
        <v>39.279923137252737</v>
      </c>
      <c r="J1021" s="9">
        <f t="shared" si="528"/>
        <v>100</v>
      </c>
    </row>
    <row r="1022" spans="1:10" ht="25.5">
      <c r="A1022" s="8" t="s">
        <v>39</v>
      </c>
      <c r="B1022" s="1" t="s">
        <v>97</v>
      </c>
      <c r="C1022" s="1" t="s">
        <v>40</v>
      </c>
      <c r="D1022" s="9">
        <f>D1023</f>
        <v>108570.2</v>
      </c>
      <c r="E1022" s="9">
        <f>E1023</f>
        <v>108570.15</v>
      </c>
      <c r="F1022" s="9">
        <f t="shared" si="552"/>
        <v>42646.27147</v>
      </c>
      <c r="G1022" s="9">
        <f t="shared" si="552"/>
        <v>42646.27147</v>
      </c>
      <c r="H1022" s="9">
        <f>H1023</f>
        <v>42646.27147</v>
      </c>
      <c r="I1022" s="9">
        <f t="shared" si="527"/>
        <v>39.279923137252737</v>
      </c>
      <c r="J1022" s="9">
        <f t="shared" si="528"/>
        <v>100</v>
      </c>
    </row>
    <row r="1023" spans="1:10">
      <c r="A1023" s="8" t="s">
        <v>41</v>
      </c>
      <c r="B1023" s="1" t="s">
        <v>97</v>
      </c>
      <c r="C1023" s="1" t="s">
        <v>42</v>
      </c>
      <c r="D1023" s="9">
        <f>ведомство!G88+ведомство!G106</f>
        <v>108570.2</v>
      </c>
      <c r="E1023" s="9">
        <f>ведомство!H88+ведомство!H106</f>
        <v>108570.15</v>
      </c>
      <c r="F1023" s="9">
        <f>ведомство!I88+ведомство!I106</f>
        <v>42646.27147</v>
      </c>
      <c r="G1023" s="9">
        <f>ведомство!J88+ведомство!J106</f>
        <v>42646.27147</v>
      </c>
      <c r="H1023" s="9">
        <f>ведомство!K88+ведомство!K106</f>
        <v>42646.27147</v>
      </c>
      <c r="I1023" s="9">
        <f t="shared" si="527"/>
        <v>39.279923137252737</v>
      </c>
      <c r="J1023" s="9">
        <f t="shared" si="528"/>
        <v>100</v>
      </c>
    </row>
    <row r="1024" spans="1:10" ht="25.5">
      <c r="A1024" s="8" t="s">
        <v>107</v>
      </c>
      <c r="B1024" s="1" t="s">
        <v>108</v>
      </c>
      <c r="C1024" s="1" t="s">
        <v>0</v>
      </c>
      <c r="D1024" s="9">
        <f>D1025</f>
        <v>342</v>
      </c>
      <c r="E1024" s="9">
        <f>E1025</f>
        <v>341.96800000000002</v>
      </c>
      <c r="F1024" s="9">
        <f t="shared" ref="F1024:G1025" si="553">F1025</f>
        <v>341.96800000000002</v>
      </c>
      <c r="G1024" s="9">
        <f t="shared" si="553"/>
        <v>341.96800000000002</v>
      </c>
      <c r="H1024" s="9">
        <f>H1025</f>
        <v>341.96800000000002</v>
      </c>
      <c r="I1024" s="9">
        <f t="shared" si="527"/>
        <v>100</v>
      </c>
      <c r="J1024" s="9">
        <f t="shared" si="528"/>
        <v>100</v>
      </c>
    </row>
    <row r="1025" spans="1:10">
      <c r="A1025" s="8" t="s">
        <v>26</v>
      </c>
      <c r="B1025" s="1" t="s">
        <v>108</v>
      </c>
      <c r="C1025" s="1" t="s">
        <v>27</v>
      </c>
      <c r="D1025" s="9">
        <f>D1026</f>
        <v>342</v>
      </c>
      <c r="E1025" s="9">
        <f>E1026</f>
        <v>341.96800000000002</v>
      </c>
      <c r="F1025" s="9">
        <f t="shared" si="553"/>
        <v>341.96800000000002</v>
      </c>
      <c r="G1025" s="9">
        <f t="shared" si="553"/>
        <v>341.96800000000002</v>
      </c>
      <c r="H1025" s="9">
        <f>H1026</f>
        <v>341.96800000000002</v>
      </c>
      <c r="I1025" s="9">
        <f t="shared" si="527"/>
        <v>100</v>
      </c>
      <c r="J1025" s="9">
        <f t="shared" si="528"/>
        <v>100</v>
      </c>
    </row>
    <row r="1026" spans="1:10">
      <c r="A1026" s="8" t="s">
        <v>56</v>
      </c>
      <c r="B1026" s="1" t="s">
        <v>108</v>
      </c>
      <c r="C1026" s="1" t="s">
        <v>57</v>
      </c>
      <c r="D1026" s="9">
        <f>ведомство!G109</f>
        <v>342</v>
      </c>
      <c r="E1026" s="9">
        <f>ведомство!H109</f>
        <v>341.96800000000002</v>
      </c>
      <c r="F1026" s="9">
        <f>ведомство!I109</f>
        <v>341.96800000000002</v>
      </c>
      <c r="G1026" s="9">
        <f>ведомство!J109</f>
        <v>341.96800000000002</v>
      </c>
      <c r="H1026" s="9">
        <f>ведомство!K109</f>
        <v>341.96800000000002</v>
      </c>
      <c r="I1026" s="9">
        <f t="shared" si="527"/>
        <v>100</v>
      </c>
      <c r="J1026" s="9">
        <f t="shared" si="528"/>
        <v>100</v>
      </c>
    </row>
    <row r="1027" spans="1:10" s="88" customFormat="1" ht="51">
      <c r="A1027" s="59" t="s">
        <v>1223</v>
      </c>
      <c r="B1027" s="77" t="s">
        <v>1222</v>
      </c>
      <c r="C1027" s="58"/>
      <c r="D1027" s="9">
        <f t="shared" ref="D1027:H1028" si="554">D1028</f>
        <v>1948.3</v>
      </c>
      <c r="E1027" s="9">
        <f t="shared" si="554"/>
        <v>1948.34746</v>
      </c>
      <c r="F1027" s="9">
        <f t="shared" si="554"/>
        <v>0</v>
      </c>
      <c r="G1027" s="9">
        <f t="shared" si="554"/>
        <v>0</v>
      </c>
      <c r="H1027" s="9">
        <f t="shared" si="554"/>
        <v>0</v>
      </c>
      <c r="I1027" s="9">
        <f t="shared" ref="I1027:I1029" si="555">H1027/E1027*100</f>
        <v>0</v>
      </c>
      <c r="J1027" s="9">
        <v>0</v>
      </c>
    </row>
    <row r="1028" spans="1:10" s="88" customFormat="1">
      <c r="A1028" s="59" t="s">
        <v>72</v>
      </c>
      <c r="B1028" s="77" t="s">
        <v>1222</v>
      </c>
      <c r="C1028" s="58">
        <v>800</v>
      </c>
      <c r="D1028" s="9">
        <f t="shared" si="554"/>
        <v>1948.3</v>
      </c>
      <c r="E1028" s="9">
        <f t="shared" si="554"/>
        <v>1948.34746</v>
      </c>
      <c r="F1028" s="9">
        <f t="shared" si="554"/>
        <v>0</v>
      </c>
      <c r="G1028" s="9">
        <f t="shared" si="554"/>
        <v>0</v>
      </c>
      <c r="H1028" s="9">
        <f t="shared" si="554"/>
        <v>0</v>
      </c>
      <c r="I1028" s="9">
        <f t="shared" si="555"/>
        <v>0</v>
      </c>
      <c r="J1028" s="9">
        <v>0</v>
      </c>
    </row>
    <row r="1029" spans="1:10" s="88" customFormat="1" ht="38.25">
      <c r="A1029" s="59" t="s">
        <v>218</v>
      </c>
      <c r="B1029" s="77" t="s">
        <v>1222</v>
      </c>
      <c r="C1029" s="28">
        <v>810</v>
      </c>
      <c r="D1029" s="9">
        <f>ведомство!G44</f>
        <v>1948.3</v>
      </c>
      <c r="E1029" s="9">
        <f>ведомство!H44</f>
        <v>1948.34746</v>
      </c>
      <c r="F1029" s="9">
        <f>ведомство!I44</f>
        <v>0</v>
      </c>
      <c r="G1029" s="9">
        <f>ведомство!J44</f>
        <v>0</v>
      </c>
      <c r="H1029" s="9">
        <f>ведомство!K44</f>
        <v>0</v>
      </c>
      <c r="I1029" s="9">
        <f t="shared" si="555"/>
        <v>0</v>
      </c>
      <c r="J1029" s="9">
        <v>0</v>
      </c>
    </row>
    <row r="1030" spans="1:10" ht="38.25">
      <c r="A1030" s="8" t="s">
        <v>854</v>
      </c>
      <c r="B1030" s="1" t="s">
        <v>855</v>
      </c>
      <c r="C1030" s="1" t="s">
        <v>0</v>
      </c>
      <c r="D1030" s="9">
        <f>D1031</f>
        <v>4000</v>
      </c>
      <c r="E1030" s="9">
        <f>E1031</f>
        <v>4000</v>
      </c>
      <c r="F1030" s="9">
        <f t="shared" ref="F1030:G1031" si="556">F1031</f>
        <v>0</v>
      </c>
      <c r="G1030" s="9">
        <f t="shared" si="556"/>
        <v>0</v>
      </c>
      <c r="H1030" s="9">
        <f>H1031</f>
        <v>0</v>
      </c>
      <c r="I1030" s="9">
        <f t="shared" si="527"/>
        <v>0</v>
      </c>
      <c r="J1030" s="9">
        <v>0</v>
      </c>
    </row>
    <row r="1031" spans="1:10">
      <c r="A1031" s="8" t="s">
        <v>68</v>
      </c>
      <c r="B1031" s="1" t="s">
        <v>855</v>
      </c>
      <c r="C1031" s="1" t="s">
        <v>69</v>
      </c>
      <c r="D1031" s="9">
        <f>D1032</f>
        <v>4000</v>
      </c>
      <c r="E1031" s="9">
        <f>E1032</f>
        <v>4000</v>
      </c>
      <c r="F1031" s="9">
        <f t="shared" si="556"/>
        <v>0</v>
      </c>
      <c r="G1031" s="9">
        <f t="shared" si="556"/>
        <v>0</v>
      </c>
      <c r="H1031" s="9">
        <f>H1032</f>
        <v>0</v>
      </c>
      <c r="I1031" s="9">
        <f t="shared" si="527"/>
        <v>0</v>
      </c>
      <c r="J1031" s="9">
        <v>0</v>
      </c>
    </row>
    <row r="1032" spans="1:10" ht="25.5">
      <c r="A1032" s="8" t="s">
        <v>151</v>
      </c>
      <c r="B1032" s="1" t="s">
        <v>855</v>
      </c>
      <c r="C1032" s="1" t="s">
        <v>152</v>
      </c>
      <c r="D1032" s="9">
        <f>ведомство!G2127</f>
        <v>4000</v>
      </c>
      <c r="E1032" s="9">
        <f>ведомство!H2127</f>
        <v>4000</v>
      </c>
      <c r="F1032" s="9">
        <f>ведомство!I2127</f>
        <v>0</v>
      </c>
      <c r="G1032" s="9">
        <f>ведомство!J2127</f>
        <v>0</v>
      </c>
      <c r="H1032" s="9">
        <f>ведомство!K2127</f>
        <v>0</v>
      </c>
      <c r="I1032" s="9">
        <f t="shared" si="527"/>
        <v>0</v>
      </c>
      <c r="J1032" s="9">
        <v>0</v>
      </c>
    </row>
    <row r="1033" spans="1:10">
      <c r="A1033" s="8" t="s">
        <v>54</v>
      </c>
      <c r="B1033" s="1" t="s">
        <v>55</v>
      </c>
      <c r="C1033" s="1" t="s">
        <v>0</v>
      </c>
      <c r="D1033" s="9">
        <f>D1034</f>
        <v>969.8</v>
      </c>
      <c r="E1033" s="9">
        <f>E1034</f>
        <v>969.83500000000004</v>
      </c>
      <c r="F1033" s="9">
        <f t="shared" ref="F1033:G1034" si="557">F1034</f>
        <v>0</v>
      </c>
      <c r="G1033" s="9">
        <f t="shared" si="557"/>
        <v>0</v>
      </c>
      <c r="H1033" s="9">
        <f>H1034</f>
        <v>0</v>
      </c>
      <c r="I1033" s="9">
        <f t="shared" si="527"/>
        <v>0</v>
      </c>
      <c r="J1033" s="9">
        <v>0</v>
      </c>
    </row>
    <row r="1034" spans="1:10">
      <c r="A1034" s="8" t="s">
        <v>26</v>
      </c>
      <c r="B1034" s="1" t="s">
        <v>55</v>
      </c>
      <c r="C1034" s="1" t="s">
        <v>27</v>
      </c>
      <c r="D1034" s="9">
        <f>D1035</f>
        <v>969.8</v>
      </c>
      <c r="E1034" s="9">
        <f>E1035</f>
        <v>969.83500000000004</v>
      </c>
      <c r="F1034" s="9">
        <f t="shared" si="557"/>
        <v>0</v>
      </c>
      <c r="G1034" s="9">
        <f t="shared" si="557"/>
        <v>0</v>
      </c>
      <c r="H1034" s="9">
        <f>H1035</f>
        <v>0</v>
      </c>
      <c r="I1034" s="9">
        <f t="shared" si="527"/>
        <v>0</v>
      </c>
      <c r="J1034" s="9">
        <v>0</v>
      </c>
    </row>
    <row r="1035" spans="1:10">
      <c r="A1035" s="8" t="s">
        <v>56</v>
      </c>
      <c r="B1035" s="1" t="s">
        <v>55</v>
      </c>
      <c r="C1035" s="1" t="s">
        <v>57</v>
      </c>
      <c r="D1035" s="9">
        <f>ведомство!G47</f>
        <v>969.8</v>
      </c>
      <c r="E1035" s="9">
        <f>ведомство!H47</f>
        <v>969.83500000000004</v>
      </c>
      <c r="F1035" s="9">
        <f>ведомство!I47</f>
        <v>0</v>
      </c>
      <c r="G1035" s="9">
        <f>ведомство!J47</f>
        <v>0</v>
      </c>
      <c r="H1035" s="9">
        <f>ведомство!K47</f>
        <v>0</v>
      </c>
      <c r="I1035" s="9">
        <f t="shared" si="527"/>
        <v>0</v>
      </c>
      <c r="J1035" s="9">
        <v>0</v>
      </c>
    </row>
    <row r="1036" spans="1:10">
      <c r="A1036" s="4" t="s">
        <v>0</v>
      </c>
      <c r="B1036" s="17" t="s">
        <v>0</v>
      </c>
      <c r="C1036" s="5" t="s">
        <v>0</v>
      </c>
      <c r="D1036" s="7" t="s">
        <v>0</v>
      </c>
      <c r="E1036" s="7" t="s">
        <v>0</v>
      </c>
      <c r="F1036" s="7" t="s">
        <v>0</v>
      </c>
      <c r="G1036" s="7" t="s">
        <v>0</v>
      </c>
      <c r="H1036" s="7" t="s">
        <v>0</v>
      </c>
      <c r="I1036" s="7"/>
      <c r="J1036" s="7"/>
    </row>
    <row r="1037" spans="1:10">
      <c r="A1037" s="4" t="s">
        <v>995</v>
      </c>
      <c r="B1037" s="5" t="s">
        <v>996</v>
      </c>
      <c r="C1037" s="5" t="s">
        <v>0</v>
      </c>
      <c r="D1037" s="7">
        <f>D1041+D1044+D1038</f>
        <v>82412.899999999994</v>
      </c>
      <c r="E1037" s="7">
        <f>E1041+E1044+E1038</f>
        <v>189622.14867</v>
      </c>
      <c r="F1037" s="7">
        <f t="shared" ref="F1037:G1037" si="558">F1041+F1044+F1038</f>
        <v>189542.14867</v>
      </c>
      <c r="G1037" s="7">
        <f t="shared" si="558"/>
        <v>189542.14867</v>
      </c>
      <c r="H1037" s="7">
        <f>H1041+H1044+H1038</f>
        <v>135906.33765</v>
      </c>
      <c r="I1037" s="7">
        <f t="shared" si="527"/>
        <v>71.672185239561983</v>
      </c>
      <c r="J1037" s="7">
        <f t="shared" si="528"/>
        <v>71.702435898106259</v>
      </c>
    </row>
    <row r="1038" spans="1:10" s="42" customFormat="1" ht="38.25">
      <c r="A1038" s="8" t="s">
        <v>1203</v>
      </c>
      <c r="B1038" s="24" t="s">
        <v>1202</v>
      </c>
      <c r="C1038" s="6"/>
      <c r="D1038" s="22">
        <f>D1039</f>
        <v>0</v>
      </c>
      <c r="E1038" s="22">
        <f>E1039</f>
        <v>107209.29496</v>
      </c>
      <c r="F1038" s="22">
        <f t="shared" ref="F1038:G1039" si="559">F1039</f>
        <v>107209.29496</v>
      </c>
      <c r="G1038" s="22">
        <f t="shared" si="559"/>
        <v>107209.29496</v>
      </c>
      <c r="H1038" s="22">
        <f>H1039</f>
        <v>106462.57876</v>
      </c>
      <c r="I1038" s="22">
        <f t="shared" ref="I1038:I1040" si="560">H1038/E1038*100</f>
        <v>99.303496772104879</v>
      </c>
      <c r="J1038" s="22">
        <f t="shared" ref="J1038:J1040" si="561">H1038/F1038*100</f>
        <v>99.303496772104879</v>
      </c>
    </row>
    <row r="1039" spans="1:10" s="42" customFormat="1">
      <c r="A1039" s="8" t="s">
        <v>26</v>
      </c>
      <c r="B1039" s="24" t="s">
        <v>1202</v>
      </c>
      <c r="C1039" s="6">
        <v>500</v>
      </c>
      <c r="D1039" s="22">
        <f>D1040</f>
        <v>0</v>
      </c>
      <c r="E1039" s="22">
        <f>E1040</f>
        <v>107209.29496</v>
      </c>
      <c r="F1039" s="22">
        <f t="shared" si="559"/>
        <v>107209.29496</v>
      </c>
      <c r="G1039" s="22">
        <f t="shared" si="559"/>
        <v>107209.29496</v>
      </c>
      <c r="H1039" s="22">
        <f>H1040</f>
        <v>106462.57876</v>
      </c>
      <c r="I1039" s="22">
        <f t="shared" si="560"/>
        <v>99.303496772104879</v>
      </c>
      <c r="J1039" s="22">
        <f t="shared" si="561"/>
        <v>99.303496772104879</v>
      </c>
    </row>
    <row r="1040" spans="1:10" s="42" customFormat="1">
      <c r="A1040" s="8" t="s">
        <v>56</v>
      </c>
      <c r="B1040" s="24" t="s">
        <v>1202</v>
      </c>
      <c r="C1040" s="6">
        <v>520</v>
      </c>
      <c r="D1040" s="22">
        <f>ведомство!G2626</f>
        <v>0</v>
      </c>
      <c r="E1040" s="22">
        <f>ведомство!H2626</f>
        <v>107209.29496</v>
      </c>
      <c r="F1040" s="22">
        <f>ведомство!I2626</f>
        <v>107209.29496</v>
      </c>
      <c r="G1040" s="22">
        <f>ведомство!J2626</f>
        <v>107209.29496</v>
      </c>
      <c r="H1040" s="22">
        <f>ведомство!K2626</f>
        <v>106462.57876</v>
      </c>
      <c r="I1040" s="22">
        <f t="shared" si="560"/>
        <v>99.303496772104879</v>
      </c>
      <c r="J1040" s="22">
        <f t="shared" si="561"/>
        <v>99.303496772104879</v>
      </c>
    </row>
    <row r="1041" spans="1:10" ht="25.5">
      <c r="A1041" s="8" t="s">
        <v>774</v>
      </c>
      <c r="B1041" s="1" t="s">
        <v>999</v>
      </c>
      <c r="C1041" s="1" t="s">
        <v>0</v>
      </c>
      <c r="D1041" s="9">
        <f>D1042</f>
        <v>80</v>
      </c>
      <c r="E1041" s="9">
        <f>E1042</f>
        <v>80</v>
      </c>
      <c r="F1041" s="9">
        <f t="shared" ref="F1041:G1042" si="562">F1042</f>
        <v>0</v>
      </c>
      <c r="G1041" s="9">
        <f t="shared" si="562"/>
        <v>0</v>
      </c>
      <c r="H1041" s="9">
        <f>H1042</f>
        <v>0</v>
      </c>
      <c r="I1041" s="9">
        <f t="shared" si="527"/>
        <v>0</v>
      </c>
      <c r="J1041" s="9">
        <v>0</v>
      </c>
    </row>
    <row r="1042" spans="1:10" ht="25.5">
      <c r="A1042" s="8" t="s">
        <v>64</v>
      </c>
      <c r="B1042" s="1" t="s">
        <v>999</v>
      </c>
      <c r="C1042" s="1" t="s">
        <v>65</v>
      </c>
      <c r="D1042" s="9">
        <f>D1043</f>
        <v>80</v>
      </c>
      <c r="E1042" s="9">
        <f>E1043</f>
        <v>80</v>
      </c>
      <c r="F1042" s="9">
        <f t="shared" si="562"/>
        <v>0</v>
      </c>
      <c r="G1042" s="9">
        <f t="shared" si="562"/>
        <v>0</v>
      </c>
      <c r="H1042" s="9">
        <f>H1043</f>
        <v>0</v>
      </c>
      <c r="I1042" s="9">
        <f t="shared" si="527"/>
        <v>0</v>
      </c>
      <c r="J1042" s="9">
        <v>0</v>
      </c>
    </row>
    <row r="1043" spans="1:10" ht="25.5">
      <c r="A1043" s="8" t="s">
        <v>66</v>
      </c>
      <c r="B1043" s="1" t="s">
        <v>999</v>
      </c>
      <c r="C1043" s="1" t="s">
        <v>67</v>
      </c>
      <c r="D1043" s="9">
        <f>ведомство!G2635</f>
        <v>80</v>
      </c>
      <c r="E1043" s="9">
        <f>ведомство!H2635</f>
        <v>80</v>
      </c>
      <c r="F1043" s="9">
        <f>ведомство!I2635</f>
        <v>0</v>
      </c>
      <c r="G1043" s="9">
        <f>ведомство!J2635</f>
        <v>0</v>
      </c>
      <c r="H1043" s="9">
        <f>ведомство!K2635</f>
        <v>0</v>
      </c>
      <c r="I1043" s="9">
        <f t="shared" si="527"/>
        <v>0</v>
      </c>
      <c r="J1043" s="9">
        <v>0</v>
      </c>
    </row>
    <row r="1044" spans="1:10" ht="38.25">
      <c r="A1044" s="8" t="s">
        <v>997</v>
      </c>
      <c r="B1044" s="1" t="s">
        <v>998</v>
      </c>
      <c r="C1044" s="1" t="s">
        <v>0</v>
      </c>
      <c r="D1044" s="9">
        <f>D1045</f>
        <v>82332.899999999994</v>
      </c>
      <c r="E1044" s="9">
        <f>E1045</f>
        <v>82332.853709999996</v>
      </c>
      <c r="F1044" s="9">
        <f t="shared" ref="F1044:G1045" si="563">F1045</f>
        <v>82332.853709999996</v>
      </c>
      <c r="G1044" s="9">
        <f t="shared" si="563"/>
        <v>82332.853709999996</v>
      </c>
      <c r="H1044" s="9">
        <f>H1045</f>
        <v>29443.758890000001</v>
      </c>
      <c r="I1044" s="9">
        <f t="shared" si="527"/>
        <v>35.761858800266289</v>
      </c>
      <c r="J1044" s="9">
        <f t="shared" si="528"/>
        <v>35.761858800266289</v>
      </c>
    </row>
    <row r="1045" spans="1:10">
      <c r="A1045" s="8" t="s">
        <v>26</v>
      </c>
      <c r="B1045" s="1" t="s">
        <v>998</v>
      </c>
      <c r="C1045" s="1" t="s">
        <v>27</v>
      </c>
      <c r="D1045" s="9">
        <f>D1046</f>
        <v>82332.899999999994</v>
      </c>
      <c r="E1045" s="9">
        <f>E1046</f>
        <v>82332.853709999996</v>
      </c>
      <c r="F1045" s="9">
        <f t="shared" si="563"/>
        <v>82332.853709999996</v>
      </c>
      <c r="G1045" s="9">
        <f t="shared" si="563"/>
        <v>82332.853709999996</v>
      </c>
      <c r="H1045" s="9">
        <f>H1046</f>
        <v>29443.758890000001</v>
      </c>
      <c r="I1045" s="9">
        <f t="shared" si="527"/>
        <v>35.761858800266289</v>
      </c>
      <c r="J1045" s="9">
        <f t="shared" si="528"/>
        <v>35.761858800266289</v>
      </c>
    </row>
    <row r="1046" spans="1:10">
      <c r="A1046" s="8" t="s">
        <v>56</v>
      </c>
      <c r="B1046" s="1" t="s">
        <v>998</v>
      </c>
      <c r="C1046" s="1" t="s">
        <v>57</v>
      </c>
      <c r="D1046" s="9">
        <f>ведомство!G2629</f>
        <v>82332.899999999994</v>
      </c>
      <c r="E1046" s="9">
        <f>ведомство!H2629</f>
        <v>82332.853709999996</v>
      </c>
      <c r="F1046" s="9">
        <f>ведомство!I2629</f>
        <v>82332.853709999996</v>
      </c>
      <c r="G1046" s="9">
        <f>ведомство!J2629</f>
        <v>82332.853709999996</v>
      </c>
      <c r="H1046" s="9">
        <f>ведомство!K2629</f>
        <v>29443.758890000001</v>
      </c>
      <c r="I1046" s="9">
        <f t="shared" si="527"/>
        <v>35.761858800266289</v>
      </c>
      <c r="J1046" s="9">
        <f t="shared" si="528"/>
        <v>35.761858800266289</v>
      </c>
    </row>
    <row r="1047" spans="1:10">
      <c r="A1047" s="4" t="s">
        <v>0</v>
      </c>
      <c r="B1047" s="17" t="s">
        <v>0</v>
      </c>
      <c r="C1047" s="5" t="s">
        <v>0</v>
      </c>
      <c r="D1047" s="7" t="s">
        <v>0</v>
      </c>
      <c r="E1047" s="7" t="s">
        <v>0</v>
      </c>
      <c r="F1047" s="7" t="s">
        <v>0</v>
      </c>
      <c r="G1047" s="7" t="s">
        <v>0</v>
      </c>
      <c r="H1047" s="7" t="s">
        <v>0</v>
      </c>
      <c r="I1047" s="7"/>
      <c r="J1047" s="7"/>
    </row>
    <row r="1048" spans="1:10" ht="25.5">
      <c r="A1048" s="4" t="s">
        <v>22</v>
      </c>
      <c r="B1048" s="5" t="s">
        <v>23</v>
      </c>
      <c r="C1048" s="5" t="s">
        <v>0</v>
      </c>
      <c r="D1048" s="7">
        <f>D1049+D1058+D1070</f>
        <v>142672.79999999999</v>
      </c>
      <c r="E1048" s="7">
        <f>E1049+E1058+E1070</f>
        <v>139126.22002000001</v>
      </c>
      <c r="F1048" s="7">
        <f t="shared" ref="F1048:G1048" si="564">F1049+F1058+F1070</f>
        <v>105367.23357</v>
      </c>
      <c r="G1048" s="7">
        <f t="shared" si="564"/>
        <v>104552.81466999999</v>
      </c>
      <c r="H1048" s="7">
        <f>H1049+H1058+H1070</f>
        <v>96100.86825</v>
      </c>
      <c r="I1048" s="7">
        <f t="shared" si="527"/>
        <v>69.074591573166487</v>
      </c>
      <c r="J1048" s="7">
        <f t="shared" si="528"/>
        <v>91.20564808808048</v>
      </c>
    </row>
    <row r="1049" spans="1:10" ht="25.5">
      <c r="A1049" s="8" t="s">
        <v>58</v>
      </c>
      <c r="B1049" s="1" t="s">
        <v>59</v>
      </c>
      <c r="C1049" s="1" t="s">
        <v>0</v>
      </c>
      <c r="D1049" s="9">
        <f>D1050+D1052+D1054+D1056</f>
        <v>78205.3</v>
      </c>
      <c r="E1049" s="9">
        <f>E1050+E1052+E1054+E1056</f>
        <v>74658.796979999999</v>
      </c>
      <c r="F1049" s="9">
        <f t="shared" ref="F1049:G1049" si="565">F1050+F1052+F1054+F1056</f>
        <v>58514.014999999999</v>
      </c>
      <c r="G1049" s="9">
        <f t="shared" si="565"/>
        <v>58513.464999999997</v>
      </c>
      <c r="H1049" s="9">
        <f>H1050+H1052+H1054+H1056</f>
        <v>54844.795389999999</v>
      </c>
      <c r="I1049" s="9">
        <f t="shared" si="527"/>
        <v>73.460593538216429</v>
      </c>
      <c r="J1049" s="9">
        <f t="shared" si="528"/>
        <v>93.729332007041393</v>
      </c>
    </row>
    <row r="1050" spans="1:10" ht="51">
      <c r="A1050" s="8" t="s">
        <v>60</v>
      </c>
      <c r="B1050" s="1" t="s">
        <v>59</v>
      </c>
      <c r="C1050" s="1" t="s">
        <v>61</v>
      </c>
      <c r="D1050" s="9">
        <f>D1051</f>
        <v>72911.5</v>
      </c>
      <c r="E1050" s="9">
        <f>E1051</f>
        <v>69364.933690000005</v>
      </c>
      <c r="F1050" s="9">
        <f t="shared" ref="F1050:G1050" si="566">F1051</f>
        <v>54410.1</v>
      </c>
      <c r="G1050" s="9">
        <f t="shared" si="566"/>
        <v>54410.1</v>
      </c>
      <c r="H1050" s="9">
        <f>H1051</f>
        <v>50941.978359999994</v>
      </c>
      <c r="I1050" s="9">
        <f t="shared" si="527"/>
        <v>73.440534936089819</v>
      </c>
      <c r="J1050" s="9">
        <f t="shared" si="528"/>
        <v>93.625959812608315</v>
      </c>
    </row>
    <row r="1051" spans="1:10" ht="25.5">
      <c r="A1051" s="8" t="s">
        <v>62</v>
      </c>
      <c r="B1051" s="1" t="s">
        <v>59</v>
      </c>
      <c r="C1051" s="1" t="s">
        <v>63</v>
      </c>
      <c r="D1051" s="9">
        <f>ведомство!G51+ведомство!G2917</f>
        <v>72911.5</v>
      </c>
      <c r="E1051" s="9">
        <f>ведомство!H51+ведомство!H2917</f>
        <v>69364.933690000005</v>
      </c>
      <c r="F1051" s="9">
        <f>ведомство!I51+ведомство!I2917</f>
        <v>54410.1</v>
      </c>
      <c r="G1051" s="9">
        <f>ведомство!J51+ведомство!J2917</f>
        <v>54410.1</v>
      </c>
      <c r="H1051" s="9">
        <f>ведомство!K51+ведомство!K2917</f>
        <v>50941.978359999994</v>
      </c>
      <c r="I1051" s="9">
        <f t="shared" si="527"/>
        <v>73.440534936089819</v>
      </c>
      <c r="J1051" s="9">
        <f t="shared" si="528"/>
        <v>93.625959812608315</v>
      </c>
    </row>
    <row r="1052" spans="1:10" ht="25.5">
      <c r="A1052" s="8" t="s">
        <v>64</v>
      </c>
      <c r="B1052" s="1" t="s">
        <v>59</v>
      </c>
      <c r="C1052" s="1" t="s">
        <v>65</v>
      </c>
      <c r="D1052" s="9">
        <f>D1053</f>
        <v>5164.2</v>
      </c>
      <c r="E1052" s="9">
        <f>E1053</f>
        <v>5164.2432900000003</v>
      </c>
      <c r="F1052" s="9">
        <f t="shared" ref="F1052:G1052" si="567">F1053</f>
        <v>4006</v>
      </c>
      <c r="G1052" s="9">
        <f t="shared" si="567"/>
        <v>4006</v>
      </c>
      <c r="H1052" s="9">
        <f>H1053</f>
        <v>3870.8180300000004</v>
      </c>
      <c r="I1052" s="9">
        <f t="shared" si="527"/>
        <v>74.954215218624995</v>
      </c>
      <c r="J1052" s="9">
        <f t="shared" si="528"/>
        <v>96.625512481278093</v>
      </c>
    </row>
    <row r="1053" spans="1:10" ht="25.5">
      <c r="A1053" s="8" t="s">
        <v>66</v>
      </c>
      <c r="B1053" s="1" t="s">
        <v>59</v>
      </c>
      <c r="C1053" s="1" t="s">
        <v>67</v>
      </c>
      <c r="D1053" s="9">
        <f>ведомство!G53+ведомство!G2919</f>
        <v>5164.2</v>
      </c>
      <c r="E1053" s="9">
        <f>ведомство!H53+ведомство!H2919</f>
        <v>5164.2432900000003</v>
      </c>
      <c r="F1053" s="9">
        <f>ведомство!I53+ведомство!I2919</f>
        <v>4006</v>
      </c>
      <c r="G1053" s="9">
        <f>ведомство!J53+ведомство!J2919</f>
        <v>4006</v>
      </c>
      <c r="H1053" s="9">
        <f>ведомство!K53+ведомство!K2919</f>
        <v>3870.8180300000004</v>
      </c>
      <c r="I1053" s="9">
        <f t="shared" si="527"/>
        <v>74.954215218624995</v>
      </c>
      <c r="J1053" s="9">
        <f t="shared" si="528"/>
        <v>96.625512481278093</v>
      </c>
    </row>
    <row r="1054" spans="1:10">
      <c r="A1054" s="8" t="s">
        <v>68</v>
      </c>
      <c r="B1054" s="1" t="s">
        <v>59</v>
      </c>
      <c r="C1054" s="1" t="s">
        <v>69</v>
      </c>
      <c r="D1054" s="9">
        <f>D1055</f>
        <v>120</v>
      </c>
      <c r="E1054" s="9">
        <f>E1055</f>
        <v>120</v>
      </c>
      <c r="F1054" s="9">
        <f t="shared" ref="F1054:G1054" si="568">F1055</f>
        <v>90</v>
      </c>
      <c r="G1054" s="9">
        <f t="shared" si="568"/>
        <v>90</v>
      </c>
      <c r="H1054" s="9">
        <f>H1055</f>
        <v>30</v>
      </c>
      <c r="I1054" s="9">
        <f t="shared" ref="I1054:I1121" si="569">H1054/E1054*100</f>
        <v>25</v>
      </c>
      <c r="J1054" s="9">
        <f t="shared" ref="J1054:J1119" si="570">H1054/F1054*100</f>
        <v>33.333333333333329</v>
      </c>
    </row>
    <row r="1055" spans="1:10">
      <c r="A1055" s="8" t="s">
        <v>70</v>
      </c>
      <c r="B1055" s="1" t="s">
        <v>59</v>
      </c>
      <c r="C1055" s="1" t="s">
        <v>71</v>
      </c>
      <c r="D1055" s="9">
        <f>ведомство!G55</f>
        <v>120</v>
      </c>
      <c r="E1055" s="9">
        <f>ведомство!H55</f>
        <v>120</v>
      </c>
      <c r="F1055" s="9">
        <f>ведомство!I55</f>
        <v>90</v>
      </c>
      <c r="G1055" s="9">
        <f>ведомство!J55</f>
        <v>90</v>
      </c>
      <c r="H1055" s="9">
        <f>ведомство!K55</f>
        <v>30</v>
      </c>
      <c r="I1055" s="9">
        <f t="shared" si="569"/>
        <v>25</v>
      </c>
      <c r="J1055" s="9">
        <f t="shared" si="570"/>
        <v>33.333333333333329</v>
      </c>
    </row>
    <row r="1056" spans="1:10">
      <c r="A1056" s="8" t="s">
        <v>72</v>
      </c>
      <c r="B1056" s="1" t="s">
        <v>59</v>
      </c>
      <c r="C1056" s="1" t="s">
        <v>73</v>
      </c>
      <c r="D1056" s="9">
        <f>D1057</f>
        <v>9.6</v>
      </c>
      <c r="E1056" s="9">
        <f>E1057</f>
        <v>9.620000000000001</v>
      </c>
      <c r="F1056" s="9">
        <f t="shared" ref="F1056:G1056" si="571">F1057</f>
        <v>7.915</v>
      </c>
      <c r="G1056" s="9">
        <f t="shared" si="571"/>
        <v>7.3650000000000002</v>
      </c>
      <c r="H1056" s="9">
        <f>H1057</f>
        <v>1.9990000000000001</v>
      </c>
      <c r="I1056" s="9">
        <f t="shared" si="569"/>
        <v>20.779625779625778</v>
      </c>
      <c r="J1056" s="9">
        <f t="shared" si="570"/>
        <v>25.255843335439042</v>
      </c>
    </row>
    <row r="1057" spans="1:10">
      <c r="A1057" s="8" t="s">
        <v>74</v>
      </c>
      <c r="B1057" s="1" t="s">
        <v>59</v>
      </c>
      <c r="C1057" s="1" t="s">
        <v>75</v>
      </c>
      <c r="D1057" s="9">
        <f>ведомство!G57+ведомство!G2921</f>
        <v>9.6</v>
      </c>
      <c r="E1057" s="9">
        <f>ведомство!H57+ведомство!H2921</f>
        <v>9.620000000000001</v>
      </c>
      <c r="F1057" s="9">
        <f>ведомство!I57+ведомство!I2921</f>
        <v>7.915</v>
      </c>
      <c r="G1057" s="9">
        <f>ведомство!J57+ведомство!J2921</f>
        <v>7.3650000000000002</v>
      </c>
      <c r="H1057" s="9">
        <f>ведомство!K57+ведомство!K2921</f>
        <v>1.9990000000000001</v>
      </c>
      <c r="I1057" s="9">
        <f t="shared" si="569"/>
        <v>20.779625779625778</v>
      </c>
      <c r="J1057" s="9">
        <f t="shared" si="570"/>
        <v>25.255843335439042</v>
      </c>
    </row>
    <row r="1058" spans="1:10" ht="25.5">
      <c r="A1058" s="8" t="s">
        <v>76</v>
      </c>
      <c r="B1058" s="1" t="s">
        <v>77</v>
      </c>
      <c r="C1058" s="1" t="s">
        <v>0</v>
      </c>
      <c r="D1058" s="9">
        <f>D1059+D1061+D1065+D1067+D1063</f>
        <v>64217.5</v>
      </c>
      <c r="E1058" s="9">
        <f>E1059+E1061+E1065+E1067+E1063</f>
        <v>64217.423040000009</v>
      </c>
      <c r="F1058" s="9">
        <f t="shared" ref="F1058:G1058" si="572">F1059+F1061+F1065+F1067+F1063</f>
        <v>46603.218569999997</v>
      </c>
      <c r="G1058" s="9">
        <f t="shared" si="572"/>
        <v>45789.349670000003</v>
      </c>
      <c r="H1058" s="9">
        <f>H1059+H1061+H1065+H1067+H1063</f>
        <v>41006.07286</v>
      </c>
      <c r="I1058" s="9">
        <f t="shared" si="569"/>
        <v>63.855058205088632</v>
      </c>
      <c r="J1058" s="9">
        <f t="shared" si="570"/>
        <v>87.989787225547843</v>
      </c>
    </row>
    <row r="1059" spans="1:10" ht="51">
      <c r="A1059" s="8" t="s">
        <v>60</v>
      </c>
      <c r="B1059" s="1" t="s">
        <v>77</v>
      </c>
      <c r="C1059" s="1" t="s">
        <v>61</v>
      </c>
      <c r="D1059" s="9">
        <f>D1060</f>
        <v>44825.2</v>
      </c>
      <c r="E1059" s="9">
        <f>E1060</f>
        <v>43771.964350000002</v>
      </c>
      <c r="F1059" s="9">
        <f t="shared" ref="F1059:G1059" si="573">F1060</f>
        <v>31892.4787</v>
      </c>
      <c r="G1059" s="9">
        <f t="shared" si="573"/>
        <v>31513.285800000001</v>
      </c>
      <c r="H1059" s="9">
        <f>H1060</f>
        <v>28096.36966</v>
      </c>
      <c r="I1059" s="9">
        <f t="shared" si="569"/>
        <v>64.188048394040138</v>
      </c>
      <c r="J1059" s="9">
        <f t="shared" si="570"/>
        <v>88.097165241659312</v>
      </c>
    </row>
    <row r="1060" spans="1:10">
      <c r="A1060" s="8" t="s">
        <v>78</v>
      </c>
      <c r="B1060" s="1" t="s">
        <v>77</v>
      </c>
      <c r="C1060" s="1" t="s">
        <v>79</v>
      </c>
      <c r="D1060" s="9">
        <f>ведомство!G60</f>
        <v>44825.2</v>
      </c>
      <c r="E1060" s="9">
        <f>ведомство!H60</f>
        <v>43771.964350000002</v>
      </c>
      <c r="F1060" s="9">
        <f>ведомство!I60</f>
        <v>31892.4787</v>
      </c>
      <c r="G1060" s="9">
        <f>ведомство!J60</f>
        <v>31513.285800000001</v>
      </c>
      <c r="H1060" s="9">
        <f>ведомство!K60</f>
        <v>28096.36966</v>
      </c>
      <c r="I1060" s="9">
        <f t="shared" si="569"/>
        <v>64.188048394040138</v>
      </c>
      <c r="J1060" s="9">
        <f t="shared" si="570"/>
        <v>88.097165241659312</v>
      </c>
    </row>
    <row r="1061" spans="1:10" ht="25.5">
      <c r="A1061" s="8" t="s">
        <v>64</v>
      </c>
      <c r="B1061" s="1" t="s">
        <v>77</v>
      </c>
      <c r="C1061" s="1" t="s">
        <v>65</v>
      </c>
      <c r="D1061" s="9">
        <f>D1062</f>
        <v>6019.5</v>
      </c>
      <c r="E1061" s="9">
        <f>E1062</f>
        <v>6019.49298</v>
      </c>
      <c r="F1061" s="9">
        <f t="shared" ref="F1061:G1061" si="574">F1062</f>
        <v>4051.4763699999999</v>
      </c>
      <c r="G1061" s="9">
        <f t="shared" si="574"/>
        <v>4051.4763699999999</v>
      </c>
      <c r="H1061" s="9">
        <f>H1062</f>
        <v>3699.7333600000002</v>
      </c>
      <c r="I1061" s="9">
        <f t="shared" si="569"/>
        <v>61.462541318554706</v>
      </c>
      <c r="J1061" s="9">
        <f t="shared" si="570"/>
        <v>91.318152251743243</v>
      </c>
    </row>
    <row r="1062" spans="1:10" ht="25.5">
      <c r="A1062" s="8" t="s">
        <v>66</v>
      </c>
      <c r="B1062" s="1" t="s">
        <v>77</v>
      </c>
      <c r="C1062" s="1" t="s">
        <v>67</v>
      </c>
      <c r="D1062" s="9">
        <f>ведомство!G92+ведомство!G62</f>
        <v>6019.5</v>
      </c>
      <c r="E1062" s="9">
        <f>ведомство!H92+ведомство!H62</f>
        <v>6019.49298</v>
      </c>
      <c r="F1062" s="9">
        <f>ведомство!I92+ведомство!I62</f>
        <v>4051.4763699999999</v>
      </c>
      <c r="G1062" s="9">
        <f>ведомство!J92+ведомство!J62</f>
        <v>4051.4763699999999</v>
      </c>
      <c r="H1062" s="9">
        <f>ведомство!K92+ведомство!K62</f>
        <v>3699.7333600000002</v>
      </c>
      <c r="I1062" s="9">
        <f t="shared" si="569"/>
        <v>61.462541318554706</v>
      </c>
      <c r="J1062" s="9">
        <f t="shared" si="570"/>
        <v>91.318152251743243</v>
      </c>
    </row>
    <row r="1063" spans="1:10" s="42" customFormat="1">
      <c r="A1063" s="8" t="s">
        <v>68</v>
      </c>
      <c r="B1063" s="1" t="s">
        <v>77</v>
      </c>
      <c r="C1063" s="1">
        <v>300</v>
      </c>
      <c r="D1063" s="9">
        <f>D1064</f>
        <v>0</v>
      </c>
      <c r="E1063" s="9">
        <f>E1064</f>
        <v>1053.1859999999999</v>
      </c>
      <c r="F1063" s="9">
        <f t="shared" ref="F1063:G1063" si="575">F1064</f>
        <v>1053.1859999999999</v>
      </c>
      <c r="G1063" s="9">
        <f t="shared" si="575"/>
        <v>1053.1859999999999</v>
      </c>
      <c r="H1063" s="9">
        <f>H1064</f>
        <v>711.41736000000003</v>
      </c>
      <c r="I1063" s="9">
        <f t="shared" ref="I1063:I1064" si="576">H1063/E1063*100</f>
        <v>67.549071104249407</v>
      </c>
      <c r="J1063" s="9">
        <f t="shared" ref="J1063:J1064" si="577">H1063/F1063*100</f>
        <v>67.549071104249407</v>
      </c>
    </row>
    <row r="1064" spans="1:10" s="42" customFormat="1" ht="25.5">
      <c r="A1064" s="8" t="s">
        <v>151</v>
      </c>
      <c r="B1064" s="1" t="s">
        <v>77</v>
      </c>
      <c r="C1064" s="1">
        <v>320</v>
      </c>
      <c r="D1064" s="9">
        <f>ведомство!G64</f>
        <v>0</v>
      </c>
      <c r="E1064" s="9">
        <f>ведомство!H64</f>
        <v>1053.1859999999999</v>
      </c>
      <c r="F1064" s="9">
        <f>ведомство!I64</f>
        <v>1053.1859999999999</v>
      </c>
      <c r="G1064" s="9">
        <f>ведомство!J64</f>
        <v>1053.1859999999999</v>
      </c>
      <c r="H1064" s="9">
        <f>ведомство!K64</f>
        <v>711.41736000000003</v>
      </c>
      <c r="I1064" s="9">
        <f t="shared" si="576"/>
        <v>67.549071104249407</v>
      </c>
      <c r="J1064" s="9">
        <f t="shared" si="577"/>
        <v>67.549071104249407</v>
      </c>
    </row>
    <row r="1065" spans="1:10" ht="25.5">
      <c r="A1065" s="8" t="s">
        <v>80</v>
      </c>
      <c r="B1065" s="1" t="s">
        <v>77</v>
      </c>
      <c r="C1065" s="1" t="s">
        <v>81</v>
      </c>
      <c r="D1065" s="9">
        <f>D1066</f>
        <v>12591.8</v>
      </c>
      <c r="E1065" s="9">
        <f>E1066</f>
        <v>12591.8</v>
      </c>
      <c r="F1065" s="9">
        <f t="shared" ref="F1065:G1065" si="578">F1066</f>
        <v>9175</v>
      </c>
      <c r="G1065" s="9">
        <f t="shared" si="578"/>
        <v>8746</v>
      </c>
      <c r="H1065" s="9">
        <f>H1066</f>
        <v>8318</v>
      </c>
      <c r="I1065" s="9">
        <f t="shared" si="569"/>
        <v>66.058863704950838</v>
      </c>
      <c r="J1065" s="9">
        <f t="shared" si="570"/>
        <v>90.659400544959126</v>
      </c>
    </row>
    <row r="1066" spans="1:10">
      <c r="A1066" s="8" t="s">
        <v>82</v>
      </c>
      <c r="B1066" s="1" t="s">
        <v>77</v>
      </c>
      <c r="C1066" s="1" t="s">
        <v>83</v>
      </c>
      <c r="D1066" s="9">
        <f>ведомство!G66</f>
        <v>12591.8</v>
      </c>
      <c r="E1066" s="9">
        <f>ведомство!H66</f>
        <v>12591.8</v>
      </c>
      <c r="F1066" s="9">
        <f>ведомство!I66</f>
        <v>9175</v>
      </c>
      <c r="G1066" s="9">
        <f>ведомство!J66</f>
        <v>8746</v>
      </c>
      <c r="H1066" s="9">
        <f>ведомство!K66</f>
        <v>8318</v>
      </c>
      <c r="I1066" s="9">
        <f t="shared" si="569"/>
        <v>66.058863704950838</v>
      </c>
      <c r="J1066" s="9">
        <f t="shared" si="570"/>
        <v>90.659400544959126</v>
      </c>
    </row>
    <row r="1067" spans="1:10">
      <c r="A1067" s="8" t="s">
        <v>72</v>
      </c>
      <c r="B1067" s="1" t="s">
        <v>77</v>
      </c>
      <c r="C1067" s="1" t="s">
        <v>73</v>
      </c>
      <c r="D1067" s="9">
        <f>D1068+D1069</f>
        <v>781</v>
      </c>
      <c r="E1067" s="9">
        <f>E1068+E1069</f>
        <v>780.97971000000007</v>
      </c>
      <c r="F1067" s="9">
        <f t="shared" ref="F1067:G1067" si="579">F1068+F1069</f>
        <v>431.07749999999999</v>
      </c>
      <c r="G1067" s="9">
        <f t="shared" si="579"/>
        <v>425.40150000000006</v>
      </c>
      <c r="H1067" s="9">
        <f>H1068+H1069</f>
        <v>180.55248</v>
      </c>
      <c r="I1067" s="9">
        <f t="shared" si="569"/>
        <v>23.118715849865033</v>
      </c>
      <c r="J1067" s="9">
        <f t="shared" si="570"/>
        <v>41.883995337265347</v>
      </c>
    </row>
    <row r="1068" spans="1:10">
      <c r="A1068" s="25" t="s">
        <v>84</v>
      </c>
      <c r="B1068" s="1" t="s">
        <v>77</v>
      </c>
      <c r="C1068" s="1" t="s">
        <v>85</v>
      </c>
      <c r="D1068" s="9">
        <f>ведомство!G68</f>
        <v>142.30000000000001</v>
      </c>
      <c r="E1068" s="9">
        <f>ведомство!H68</f>
        <v>145.29326</v>
      </c>
      <c r="F1068" s="9">
        <f>ведомство!I68</f>
        <v>145.29326</v>
      </c>
      <c r="G1068" s="9">
        <f>ведомство!J68</f>
        <v>145.29326</v>
      </c>
      <c r="H1068" s="9">
        <f>ведомство!K68</f>
        <v>3</v>
      </c>
      <c r="I1068" s="9">
        <f t="shared" si="569"/>
        <v>2.0647895160449976</v>
      </c>
      <c r="J1068" s="9">
        <f t="shared" si="570"/>
        <v>2.0647895160449976</v>
      </c>
    </row>
    <row r="1069" spans="1:10">
      <c r="A1069" s="8" t="s">
        <v>74</v>
      </c>
      <c r="B1069" s="1" t="s">
        <v>77</v>
      </c>
      <c r="C1069" s="1" t="s">
        <v>75</v>
      </c>
      <c r="D1069" s="9">
        <f>ведомство!G69</f>
        <v>638.70000000000005</v>
      </c>
      <c r="E1069" s="9">
        <f>ведомство!H69</f>
        <v>635.68645000000004</v>
      </c>
      <c r="F1069" s="9">
        <f>ведомство!I69</f>
        <v>285.78424000000001</v>
      </c>
      <c r="G1069" s="9">
        <f>ведомство!J69</f>
        <v>280.10824000000002</v>
      </c>
      <c r="H1069" s="9">
        <f>ведомство!K69</f>
        <v>177.55248</v>
      </c>
      <c r="I1069" s="9">
        <f t="shared" si="569"/>
        <v>27.930826589114805</v>
      </c>
      <c r="J1069" s="9">
        <f t="shared" si="570"/>
        <v>62.128156542152212</v>
      </c>
    </row>
    <row r="1070" spans="1:10" ht="51">
      <c r="A1070" s="8" t="s">
        <v>24</v>
      </c>
      <c r="B1070" s="1" t="s">
        <v>25</v>
      </c>
      <c r="C1070" s="1" t="s">
        <v>0</v>
      </c>
      <c r="D1070" s="9">
        <f t="shared" ref="D1070:H1071" si="580">D1071</f>
        <v>250</v>
      </c>
      <c r="E1070" s="9">
        <f t="shared" si="580"/>
        <v>250</v>
      </c>
      <c r="F1070" s="9">
        <f t="shared" si="580"/>
        <v>250</v>
      </c>
      <c r="G1070" s="9">
        <f t="shared" si="580"/>
        <v>250</v>
      </c>
      <c r="H1070" s="9">
        <f t="shared" si="580"/>
        <v>250</v>
      </c>
      <c r="I1070" s="9">
        <f t="shared" si="569"/>
        <v>100</v>
      </c>
      <c r="J1070" s="9">
        <f t="shared" si="570"/>
        <v>100</v>
      </c>
    </row>
    <row r="1071" spans="1:10">
      <c r="A1071" s="8" t="s">
        <v>26</v>
      </c>
      <c r="B1071" s="1" t="s">
        <v>25</v>
      </c>
      <c r="C1071" s="1" t="s">
        <v>27</v>
      </c>
      <c r="D1071" s="9">
        <f t="shared" si="580"/>
        <v>250</v>
      </c>
      <c r="E1071" s="9">
        <f t="shared" si="580"/>
        <v>250</v>
      </c>
      <c r="F1071" s="9">
        <f t="shared" si="580"/>
        <v>250</v>
      </c>
      <c r="G1071" s="9">
        <f t="shared" si="580"/>
        <v>250</v>
      </c>
      <c r="H1071" s="9">
        <f t="shared" si="580"/>
        <v>250</v>
      </c>
      <c r="I1071" s="9">
        <f t="shared" si="569"/>
        <v>100</v>
      </c>
      <c r="J1071" s="9">
        <f t="shared" si="570"/>
        <v>100</v>
      </c>
    </row>
    <row r="1072" spans="1:10">
      <c r="A1072" s="8" t="s">
        <v>28</v>
      </c>
      <c r="B1072" s="1" t="s">
        <v>25</v>
      </c>
      <c r="C1072" s="1" t="s">
        <v>29</v>
      </c>
      <c r="D1072" s="9">
        <f>ведомство!G15</f>
        <v>250</v>
      </c>
      <c r="E1072" s="9">
        <f>ведомство!H15</f>
        <v>250</v>
      </c>
      <c r="F1072" s="9">
        <f>ведомство!I15</f>
        <v>250</v>
      </c>
      <c r="G1072" s="9">
        <f>ведомство!J15</f>
        <v>250</v>
      </c>
      <c r="H1072" s="9">
        <f>ведомство!K15</f>
        <v>250</v>
      </c>
      <c r="I1072" s="9">
        <f t="shared" si="569"/>
        <v>100</v>
      </c>
      <c r="J1072" s="9">
        <f t="shared" si="570"/>
        <v>100</v>
      </c>
    </row>
    <row r="1073" spans="1:10">
      <c r="A1073" s="4" t="s">
        <v>0</v>
      </c>
      <c r="B1073" s="17" t="s">
        <v>0</v>
      </c>
      <c r="C1073" s="5" t="s">
        <v>0</v>
      </c>
      <c r="D1073" s="7" t="s">
        <v>0</v>
      </c>
      <c r="E1073" s="7" t="s">
        <v>0</v>
      </c>
      <c r="F1073" s="7" t="s">
        <v>0</v>
      </c>
      <c r="G1073" s="7" t="s">
        <v>0</v>
      </c>
      <c r="H1073" s="7" t="s">
        <v>0</v>
      </c>
      <c r="I1073" s="7"/>
      <c r="J1073" s="7"/>
    </row>
    <row r="1074" spans="1:10" ht="38.25">
      <c r="A1074" s="4" t="s">
        <v>742</v>
      </c>
      <c r="B1074" s="5" t="s">
        <v>743</v>
      </c>
      <c r="C1074" s="5" t="s">
        <v>0</v>
      </c>
      <c r="D1074" s="7">
        <f>D1075+D1116+D1121+D1129</f>
        <v>888021.1</v>
      </c>
      <c r="E1074" s="7">
        <f>E1075+E1116+E1121+E1129</f>
        <v>905180.93421000009</v>
      </c>
      <c r="F1074" s="7">
        <f t="shared" ref="F1074:G1074" si="581">F1075+F1116+F1121+F1129</f>
        <v>675979.74005000002</v>
      </c>
      <c r="G1074" s="7">
        <f t="shared" si="581"/>
        <v>674789.74005000002</v>
      </c>
      <c r="H1074" s="7">
        <f>H1075+H1116+H1121+H1129</f>
        <v>641766.38690000004</v>
      </c>
      <c r="I1074" s="7">
        <f t="shared" si="569"/>
        <v>70.899238223582771</v>
      </c>
      <c r="J1074" s="7">
        <f t="shared" si="570"/>
        <v>94.938701395478304</v>
      </c>
    </row>
    <row r="1075" spans="1:10" ht="25.5">
      <c r="A1075" s="4" t="s">
        <v>750</v>
      </c>
      <c r="B1075" s="5" t="s">
        <v>751</v>
      </c>
      <c r="C1075" s="5" t="s">
        <v>0</v>
      </c>
      <c r="D1075" s="7">
        <f>D1076+D1084+D1094+D1097+D1107</f>
        <v>871662.1</v>
      </c>
      <c r="E1075" s="7">
        <f>E1076+E1084+E1094+E1097+E1107</f>
        <v>871662.13421000005</v>
      </c>
      <c r="F1075" s="7">
        <f t="shared" ref="F1075:G1075" si="582">F1076+F1084+F1094+F1097+F1107</f>
        <v>665911.34005</v>
      </c>
      <c r="G1075" s="7">
        <f t="shared" si="582"/>
        <v>665911.34005</v>
      </c>
      <c r="H1075" s="7">
        <f>H1076+H1084+H1094+H1097+H1107</f>
        <v>634058.19854000001</v>
      </c>
      <c r="I1075" s="7">
        <f t="shared" si="569"/>
        <v>72.741280555298644</v>
      </c>
      <c r="J1075" s="7">
        <f t="shared" si="570"/>
        <v>95.216609239961542</v>
      </c>
    </row>
    <row r="1076" spans="1:10" ht="38.25">
      <c r="A1076" s="8" t="s">
        <v>856</v>
      </c>
      <c r="B1076" s="1" t="s">
        <v>857</v>
      </c>
      <c r="C1076" s="1" t="s">
        <v>0</v>
      </c>
      <c r="D1076" s="9">
        <f>D1077+D1079+D1082</f>
        <v>435487.8</v>
      </c>
      <c r="E1076" s="9">
        <f>E1077+E1079+E1082</f>
        <v>435487.8</v>
      </c>
      <c r="F1076" s="9">
        <f t="shared" ref="F1076:G1076" si="583">F1077+F1079+F1082</f>
        <v>336350.01105000003</v>
      </c>
      <c r="G1076" s="9">
        <f t="shared" si="583"/>
        <v>336350.01105000003</v>
      </c>
      <c r="H1076" s="9">
        <f>H1077+H1079+H1082</f>
        <v>334685.32329999999</v>
      </c>
      <c r="I1076" s="9">
        <f t="shared" si="569"/>
        <v>76.852973447246981</v>
      </c>
      <c r="J1076" s="9">
        <f t="shared" si="570"/>
        <v>99.505072782723175</v>
      </c>
    </row>
    <row r="1077" spans="1:10" ht="25.5">
      <c r="A1077" s="8" t="s">
        <v>64</v>
      </c>
      <c r="B1077" s="1" t="s">
        <v>857</v>
      </c>
      <c r="C1077" s="1" t="s">
        <v>65</v>
      </c>
      <c r="D1077" s="9">
        <f>D1078</f>
        <v>9338.4</v>
      </c>
      <c r="E1077" s="9">
        <f>E1078</f>
        <v>9338.4</v>
      </c>
      <c r="F1077" s="9">
        <f t="shared" ref="F1077:G1077" si="584">F1078</f>
        <v>5162.6234199999999</v>
      </c>
      <c r="G1077" s="9">
        <f t="shared" si="584"/>
        <v>5162.6234199999999</v>
      </c>
      <c r="H1077" s="9">
        <f>H1078</f>
        <v>5050.3979099999997</v>
      </c>
      <c r="I1077" s="9">
        <f t="shared" si="569"/>
        <v>54.08204735286558</v>
      </c>
      <c r="J1077" s="9">
        <f t="shared" si="570"/>
        <v>97.826192211400922</v>
      </c>
    </row>
    <row r="1078" spans="1:10" ht="25.5">
      <c r="A1078" s="8" t="s">
        <v>66</v>
      </c>
      <c r="B1078" s="1" t="s">
        <v>857</v>
      </c>
      <c r="C1078" s="1" t="s">
        <v>67</v>
      </c>
      <c r="D1078" s="9">
        <f>ведомство!G2132</f>
        <v>9338.4</v>
      </c>
      <c r="E1078" s="9">
        <f>ведомство!H2132</f>
        <v>9338.4</v>
      </c>
      <c r="F1078" s="9">
        <f>ведомство!I2132</f>
        <v>5162.6234199999999</v>
      </c>
      <c r="G1078" s="9">
        <f>ведомство!J2132</f>
        <v>5162.6234199999999</v>
      </c>
      <c r="H1078" s="9">
        <f>ведомство!K2132</f>
        <v>5050.3979099999997</v>
      </c>
      <c r="I1078" s="9">
        <f t="shared" si="569"/>
        <v>54.08204735286558</v>
      </c>
      <c r="J1078" s="9">
        <f t="shared" si="570"/>
        <v>97.826192211400922</v>
      </c>
    </row>
    <row r="1079" spans="1:10">
      <c r="A1079" s="8" t="s">
        <v>68</v>
      </c>
      <c r="B1079" s="1" t="s">
        <v>857</v>
      </c>
      <c r="C1079" s="1" t="s">
        <v>69</v>
      </c>
      <c r="D1079" s="9">
        <f>D1080+D1081</f>
        <v>387224.39999999997</v>
      </c>
      <c r="E1079" s="9">
        <f>E1080+E1081</f>
        <v>387224.39999999997</v>
      </c>
      <c r="F1079" s="9">
        <f t="shared" ref="F1079:G1079" si="585">F1080+F1081</f>
        <v>311786.16665000003</v>
      </c>
      <c r="G1079" s="9">
        <f t="shared" si="585"/>
        <v>311786.16665000003</v>
      </c>
      <c r="H1079" s="9">
        <f>H1080+H1081</f>
        <v>310492.92333999998</v>
      </c>
      <c r="I1079" s="9">
        <f t="shared" si="569"/>
        <v>80.184235120514103</v>
      </c>
      <c r="J1079" s="9">
        <f t="shared" si="570"/>
        <v>99.58521466045292</v>
      </c>
    </row>
    <row r="1080" spans="1:10" ht="25.5">
      <c r="A1080" s="8" t="s">
        <v>151</v>
      </c>
      <c r="B1080" s="1" t="s">
        <v>857</v>
      </c>
      <c r="C1080" s="1" t="s">
        <v>152</v>
      </c>
      <c r="D1080" s="9">
        <f>ведомство!G2134</f>
        <v>371255.8</v>
      </c>
      <c r="E1080" s="9">
        <f>ведомство!H2134</f>
        <v>371255.8</v>
      </c>
      <c r="F1080" s="9">
        <f>ведомство!I2134</f>
        <v>303268.25552000001</v>
      </c>
      <c r="G1080" s="9">
        <f>ведомство!J2134</f>
        <v>303268.25552000001</v>
      </c>
      <c r="H1080" s="9">
        <f>ведомство!K2134</f>
        <v>302018.81229999999</v>
      </c>
      <c r="I1080" s="9">
        <f t="shared" si="569"/>
        <v>81.350597701099886</v>
      </c>
      <c r="J1080" s="9">
        <f t="shared" si="570"/>
        <v>99.588007251910469</v>
      </c>
    </row>
    <row r="1081" spans="1:10">
      <c r="A1081" s="8" t="s">
        <v>858</v>
      </c>
      <c r="B1081" s="1" t="s">
        <v>857</v>
      </c>
      <c r="C1081" s="1" t="s">
        <v>859</v>
      </c>
      <c r="D1081" s="9">
        <f>ведомство!G2135</f>
        <v>15968.6</v>
      </c>
      <c r="E1081" s="9">
        <f>ведомство!H2135</f>
        <v>15968.6</v>
      </c>
      <c r="F1081" s="9">
        <f>ведомство!I2135</f>
        <v>8517.9111300000004</v>
      </c>
      <c r="G1081" s="9">
        <f>ведомство!J2135</f>
        <v>8517.9111300000004</v>
      </c>
      <c r="H1081" s="9">
        <f>ведомство!K2135</f>
        <v>8474.1110399999998</v>
      </c>
      <c r="I1081" s="9">
        <f t="shared" si="569"/>
        <v>53.067338652104759</v>
      </c>
      <c r="J1081" s="9">
        <f t="shared" si="570"/>
        <v>99.485788366049775</v>
      </c>
    </row>
    <row r="1082" spans="1:10">
      <c r="A1082" s="8" t="s">
        <v>26</v>
      </c>
      <c r="B1082" s="1" t="s">
        <v>857</v>
      </c>
      <c r="C1082" s="1" t="s">
        <v>27</v>
      </c>
      <c r="D1082" s="9">
        <f>D1083</f>
        <v>38925</v>
      </c>
      <c r="E1082" s="9">
        <f>E1083</f>
        <v>38925</v>
      </c>
      <c r="F1082" s="9">
        <f t="shared" ref="F1082:G1082" si="586">F1083</f>
        <v>19401.220979999998</v>
      </c>
      <c r="G1082" s="9">
        <f t="shared" si="586"/>
        <v>19401.220979999998</v>
      </c>
      <c r="H1082" s="9">
        <f>H1083</f>
        <v>19142.002049999999</v>
      </c>
      <c r="I1082" s="9">
        <f t="shared" si="569"/>
        <v>49.176626974951823</v>
      </c>
      <c r="J1082" s="9">
        <f t="shared" si="570"/>
        <v>98.663904038476659</v>
      </c>
    </row>
    <row r="1083" spans="1:10" ht="25.5">
      <c r="A1083" s="8" t="s">
        <v>890</v>
      </c>
      <c r="B1083" s="1" t="s">
        <v>857</v>
      </c>
      <c r="C1083" s="1" t="s">
        <v>891</v>
      </c>
      <c r="D1083" s="9">
        <f>ведомство!G2222</f>
        <v>38925</v>
      </c>
      <c r="E1083" s="9">
        <f>ведомство!H2222</f>
        <v>38925</v>
      </c>
      <c r="F1083" s="9">
        <f>ведомство!I2222</f>
        <v>19401.220979999998</v>
      </c>
      <c r="G1083" s="9">
        <f>ведомство!J2222</f>
        <v>19401.220979999998</v>
      </c>
      <c r="H1083" s="9">
        <f>ведомство!K2222</f>
        <v>19142.002049999999</v>
      </c>
      <c r="I1083" s="9">
        <f t="shared" si="569"/>
        <v>49.176626974951823</v>
      </c>
      <c r="J1083" s="9">
        <f t="shared" si="570"/>
        <v>98.663904038476659</v>
      </c>
    </row>
    <row r="1084" spans="1:10" ht="25.5">
      <c r="A1084" s="8" t="s">
        <v>58</v>
      </c>
      <c r="B1084" s="1" t="s">
        <v>752</v>
      </c>
      <c r="C1084" s="1" t="s">
        <v>0</v>
      </c>
      <c r="D1084" s="9">
        <f>D1085+D1087+D1089+D1091</f>
        <v>101782.7</v>
      </c>
      <c r="E1084" s="9">
        <f>E1085+E1087+E1089+E1091</f>
        <v>101782.7</v>
      </c>
      <c r="F1084" s="9">
        <f t="shared" ref="F1084:G1084" si="587">F1085+F1087+F1089+F1091</f>
        <v>80154.28</v>
      </c>
      <c r="G1084" s="9">
        <f t="shared" si="587"/>
        <v>80154.28</v>
      </c>
      <c r="H1084" s="9">
        <f>H1085+H1087+H1089+H1091</f>
        <v>70420.198120000001</v>
      </c>
      <c r="I1084" s="9">
        <f t="shared" si="569"/>
        <v>69.186804948188637</v>
      </c>
      <c r="J1084" s="9">
        <f t="shared" si="570"/>
        <v>87.855817705554841</v>
      </c>
    </row>
    <row r="1085" spans="1:10" ht="51">
      <c r="A1085" s="8" t="s">
        <v>60</v>
      </c>
      <c r="B1085" s="1" t="s">
        <v>752</v>
      </c>
      <c r="C1085" s="1" t="s">
        <v>61</v>
      </c>
      <c r="D1085" s="9">
        <f>D1086</f>
        <v>96424</v>
      </c>
      <c r="E1085" s="9">
        <f>E1086</f>
        <v>96424</v>
      </c>
      <c r="F1085" s="9">
        <f t="shared" ref="F1085:G1085" si="588">F1086</f>
        <v>76783.899999999994</v>
      </c>
      <c r="G1085" s="9">
        <f t="shared" si="588"/>
        <v>76783.899999999994</v>
      </c>
      <c r="H1085" s="9">
        <f>H1086</f>
        <v>68766.767189999999</v>
      </c>
      <c r="I1085" s="9">
        <f t="shared" si="569"/>
        <v>71.317065450510242</v>
      </c>
      <c r="J1085" s="9">
        <f t="shared" si="570"/>
        <v>89.55883614924484</v>
      </c>
    </row>
    <row r="1086" spans="1:10" ht="25.5">
      <c r="A1086" s="8" t="s">
        <v>62</v>
      </c>
      <c r="B1086" s="1" t="s">
        <v>752</v>
      </c>
      <c r="C1086" s="1" t="s">
        <v>63</v>
      </c>
      <c r="D1086" s="9">
        <f>ведомство!G1833</f>
        <v>96424</v>
      </c>
      <c r="E1086" s="9">
        <f>ведомство!H1833</f>
        <v>96424</v>
      </c>
      <c r="F1086" s="9">
        <f>ведомство!I1833</f>
        <v>76783.899999999994</v>
      </c>
      <c r="G1086" s="9">
        <f>ведомство!J1833</f>
        <v>76783.899999999994</v>
      </c>
      <c r="H1086" s="9">
        <f>ведомство!K1833</f>
        <v>68766.767189999999</v>
      </c>
      <c r="I1086" s="9">
        <f t="shared" si="569"/>
        <v>71.317065450510242</v>
      </c>
      <c r="J1086" s="9">
        <f t="shared" si="570"/>
        <v>89.55883614924484</v>
      </c>
    </row>
    <row r="1087" spans="1:10" ht="25.5">
      <c r="A1087" s="8" t="s">
        <v>64</v>
      </c>
      <c r="B1087" s="1" t="s">
        <v>752</v>
      </c>
      <c r="C1087" s="1" t="s">
        <v>65</v>
      </c>
      <c r="D1087" s="9">
        <f>D1088</f>
        <v>5278.9</v>
      </c>
      <c r="E1087" s="9">
        <f>E1088</f>
        <v>5278.9</v>
      </c>
      <c r="F1087" s="9">
        <f t="shared" ref="F1087:G1087" si="589">F1088</f>
        <v>3306.6</v>
      </c>
      <c r="G1087" s="9">
        <f t="shared" si="589"/>
        <v>3306.6</v>
      </c>
      <c r="H1087" s="9">
        <f>H1088</f>
        <v>1646.52658</v>
      </c>
      <c r="I1087" s="9">
        <f t="shared" si="569"/>
        <v>31.190713595635454</v>
      </c>
      <c r="J1087" s="9">
        <f t="shared" si="570"/>
        <v>49.795154539406042</v>
      </c>
    </row>
    <row r="1088" spans="1:10" ht="25.5">
      <c r="A1088" s="8" t="s">
        <v>66</v>
      </c>
      <c r="B1088" s="1" t="s">
        <v>752</v>
      </c>
      <c r="C1088" s="1" t="s">
        <v>67</v>
      </c>
      <c r="D1088" s="9">
        <f>ведомство!G1835</f>
        <v>5278.9</v>
      </c>
      <c r="E1088" s="9">
        <f>ведомство!H1835</f>
        <v>5278.9</v>
      </c>
      <c r="F1088" s="9">
        <f>ведомство!I1835</f>
        <v>3306.6</v>
      </c>
      <c r="G1088" s="9">
        <f>ведомство!J1835</f>
        <v>3306.6</v>
      </c>
      <c r="H1088" s="9">
        <f>ведомство!K1835</f>
        <v>1646.52658</v>
      </c>
      <c r="I1088" s="9">
        <f t="shared" si="569"/>
        <v>31.190713595635454</v>
      </c>
      <c r="J1088" s="9">
        <f t="shared" si="570"/>
        <v>49.795154539406042</v>
      </c>
    </row>
    <row r="1089" spans="1:10">
      <c r="A1089" s="8" t="s">
        <v>68</v>
      </c>
      <c r="B1089" s="1" t="s">
        <v>752</v>
      </c>
      <c r="C1089" s="1" t="s">
        <v>69</v>
      </c>
      <c r="D1089" s="9">
        <f>D1090</f>
        <v>30</v>
      </c>
      <c r="E1089" s="9">
        <f>E1090</f>
        <v>30</v>
      </c>
      <c r="F1089" s="9">
        <f t="shared" ref="F1089:G1089" si="590">F1090</f>
        <v>30</v>
      </c>
      <c r="G1089" s="9">
        <f t="shared" si="590"/>
        <v>30</v>
      </c>
      <c r="H1089" s="9">
        <f>H1090</f>
        <v>0</v>
      </c>
      <c r="I1089" s="9">
        <f t="shared" si="569"/>
        <v>0</v>
      </c>
      <c r="J1089" s="9">
        <f t="shared" si="570"/>
        <v>0</v>
      </c>
    </row>
    <row r="1090" spans="1:10">
      <c r="A1090" s="8" t="s">
        <v>70</v>
      </c>
      <c r="B1090" s="1" t="s">
        <v>752</v>
      </c>
      <c r="C1090" s="1" t="s">
        <v>71</v>
      </c>
      <c r="D1090" s="9">
        <f>ведомство!G1837</f>
        <v>30</v>
      </c>
      <c r="E1090" s="9">
        <f>ведомство!H1837</f>
        <v>30</v>
      </c>
      <c r="F1090" s="9">
        <f>ведомство!I1837</f>
        <v>30</v>
      </c>
      <c r="G1090" s="9">
        <f>ведомство!J1837</f>
        <v>30</v>
      </c>
      <c r="H1090" s="9">
        <f>ведомство!K1837</f>
        <v>0</v>
      </c>
      <c r="I1090" s="9">
        <f t="shared" si="569"/>
        <v>0</v>
      </c>
      <c r="J1090" s="9">
        <f t="shared" si="570"/>
        <v>0</v>
      </c>
    </row>
    <row r="1091" spans="1:10">
      <c r="A1091" s="8" t="s">
        <v>72</v>
      </c>
      <c r="B1091" s="1" t="s">
        <v>752</v>
      </c>
      <c r="C1091" s="1" t="s">
        <v>73</v>
      </c>
      <c r="D1091" s="9">
        <f>D1092+D1093</f>
        <v>49.8</v>
      </c>
      <c r="E1091" s="9">
        <f>E1092+E1093</f>
        <v>49.8</v>
      </c>
      <c r="F1091" s="9">
        <f t="shared" ref="F1091:G1091" si="591">F1092+F1093</f>
        <v>33.78</v>
      </c>
      <c r="G1091" s="9">
        <f t="shared" si="591"/>
        <v>33.78</v>
      </c>
      <c r="H1091" s="9">
        <f>H1092+H1093</f>
        <v>6.90435</v>
      </c>
      <c r="I1091" s="9">
        <f t="shared" si="569"/>
        <v>13.864156626506025</v>
      </c>
      <c r="J1091" s="9">
        <f t="shared" si="570"/>
        <v>20.439165186500887</v>
      </c>
    </row>
    <row r="1092" spans="1:10">
      <c r="A1092" s="8" t="s">
        <v>84</v>
      </c>
      <c r="B1092" s="1" t="s">
        <v>752</v>
      </c>
      <c r="C1092" s="1" t="s">
        <v>85</v>
      </c>
      <c r="D1092" s="9">
        <f>ведомство!G1839</f>
        <v>5</v>
      </c>
      <c r="E1092" s="9">
        <f>ведомство!H1839</f>
        <v>5</v>
      </c>
      <c r="F1092" s="9">
        <f>ведомство!I1839</f>
        <v>5</v>
      </c>
      <c r="G1092" s="9">
        <f>ведомство!J1839</f>
        <v>5</v>
      </c>
      <c r="H1092" s="9">
        <f>ведомство!K1839</f>
        <v>0.3</v>
      </c>
      <c r="I1092" s="9">
        <f t="shared" si="569"/>
        <v>6</v>
      </c>
      <c r="J1092" s="9">
        <f t="shared" si="570"/>
        <v>6</v>
      </c>
    </row>
    <row r="1093" spans="1:10">
      <c r="A1093" s="8" t="s">
        <v>74</v>
      </c>
      <c r="B1093" s="1" t="s">
        <v>752</v>
      </c>
      <c r="C1093" s="1" t="s">
        <v>75</v>
      </c>
      <c r="D1093" s="9">
        <f>ведомство!G1840</f>
        <v>44.8</v>
      </c>
      <c r="E1093" s="9">
        <f>ведомство!H1840</f>
        <v>44.8</v>
      </c>
      <c r="F1093" s="9">
        <f>ведомство!I1840</f>
        <v>28.78</v>
      </c>
      <c r="G1093" s="9">
        <f>ведомство!J1840</f>
        <v>28.78</v>
      </c>
      <c r="H1093" s="9">
        <f>ведомство!K1840</f>
        <v>6.6043500000000002</v>
      </c>
      <c r="I1093" s="9">
        <f t="shared" si="569"/>
        <v>14.74185267857143</v>
      </c>
      <c r="J1093" s="9">
        <f t="shared" si="570"/>
        <v>22.947706740792217</v>
      </c>
    </row>
    <row r="1094" spans="1:10">
      <c r="A1094" s="8" t="s">
        <v>609</v>
      </c>
      <c r="B1094" s="1" t="s">
        <v>753</v>
      </c>
      <c r="C1094" s="1" t="s">
        <v>0</v>
      </c>
      <c r="D1094" s="9">
        <f>D1095</f>
        <v>7623.5</v>
      </c>
      <c r="E1094" s="9">
        <f>E1095</f>
        <v>7623.5</v>
      </c>
      <c r="F1094" s="9">
        <f t="shared" ref="F1094:G1095" si="592">F1095</f>
        <v>6199.75</v>
      </c>
      <c r="G1094" s="9">
        <f t="shared" si="592"/>
        <v>6199.75</v>
      </c>
      <c r="H1094" s="9">
        <f>H1095</f>
        <v>6021.25</v>
      </c>
      <c r="I1094" s="9">
        <f t="shared" si="569"/>
        <v>78.982750705056731</v>
      </c>
      <c r="J1094" s="9">
        <f t="shared" si="570"/>
        <v>97.120851647243839</v>
      </c>
    </row>
    <row r="1095" spans="1:10" ht="25.5">
      <c r="A1095" s="8" t="s">
        <v>64</v>
      </c>
      <c r="B1095" s="1" t="s">
        <v>753</v>
      </c>
      <c r="C1095" s="1" t="s">
        <v>65</v>
      </c>
      <c r="D1095" s="9">
        <f>D1096</f>
        <v>7623.5</v>
      </c>
      <c r="E1095" s="9">
        <f>E1096</f>
        <v>7623.5</v>
      </c>
      <c r="F1095" s="9">
        <f t="shared" si="592"/>
        <v>6199.75</v>
      </c>
      <c r="G1095" s="9">
        <f t="shared" si="592"/>
        <v>6199.75</v>
      </c>
      <c r="H1095" s="9">
        <f>H1096</f>
        <v>6021.25</v>
      </c>
      <c r="I1095" s="9">
        <f t="shared" si="569"/>
        <v>78.982750705056731</v>
      </c>
      <c r="J1095" s="9">
        <f t="shared" si="570"/>
        <v>97.120851647243839</v>
      </c>
    </row>
    <row r="1096" spans="1:10" ht="25.5">
      <c r="A1096" s="8" t="s">
        <v>66</v>
      </c>
      <c r="B1096" s="1" t="s">
        <v>753</v>
      </c>
      <c r="C1096" s="1" t="s">
        <v>67</v>
      </c>
      <c r="D1096" s="9">
        <f>ведомство!G1843</f>
        <v>7623.5</v>
      </c>
      <c r="E1096" s="9">
        <f>ведомство!H1843</f>
        <v>7623.5</v>
      </c>
      <c r="F1096" s="9">
        <f>ведомство!I1843</f>
        <v>6199.75</v>
      </c>
      <c r="G1096" s="9">
        <f>ведомство!J1843</f>
        <v>6199.75</v>
      </c>
      <c r="H1096" s="9">
        <f>ведомство!K1843</f>
        <v>6021.25</v>
      </c>
      <c r="I1096" s="9">
        <f t="shared" si="569"/>
        <v>78.982750705056731</v>
      </c>
      <c r="J1096" s="9">
        <f t="shared" si="570"/>
        <v>97.120851647243839</v>
      </c>
    </row>
    <row r="1097" spans="1:10" ht="25.5">
      <c r="A1097" s="8" t="s">
        <v>76</v>
      </c>
      <c r="B1097" s="1" t="s">
        <v>754</v>
      </c>
      <c r="C1097" s="1" t="s">
        <v>0</v>
      </c>
      <c r="D1097" s="9">
        <f>D1098+D1100+D1104+D1102</f>
        <v>260854.6</v>
      </c>
      <c r="E1097" s="9">
        <f>E1098+E1100+E1104+E1102</f>
        <v>260854.64021000004</v>
      </c>
      <c r="F1097" s="9">
        <f t="shared" ref="F1097:G1097" si="593">F1098+F1100+F1104+F1102</f>
        <v>194116.61299999998</v>
      </c>
      <c r="G1097" s="9">
        <f t="shared" si="593"/>
        <v>194116.61299999998</v>
      </c>
      <c r="H1097" s="9">
        <f>H1098+H1100+H1104+H1102</f>
        <v>175364.59837999998</v>
      </c>
      <c r="I1097" s="9">
        <f t="shared" si="569"/>
        <v>67.226942269005974</v>
      </c>
      <c r="J1097" s="9">
        <f t="shared" si="570"/>
        <v>90.339819796876426</v>
      </c>
    </row>
    <row r="1098" spans="1:10" ht="51">
      <c r="A1098" s="8" t="s">
        <v>60</v>
      </c>
      <c r="B1098" s="1" t="s">
        <v>754</v>
      </c>
      <c r="C1098" s="1" t="s">
        <v>61</v>
      </c>
      <c r="D1098" s="9">
        <f>D1099</f>
        <v>237514</v>
      </c>
      <c r="E1098" s="9">
        <f>E1099</f>
        <v>237186.74800000002</v>
      </c>
      <c r="F1098" s="9">
        <f t="shared" ref="F1098:G1098" si="594">F1099</f>
        <v>177285.86099999998</v>
      </c>
      <c r="G1098" s="9">
        <f t="shared" si="594"/>
        <v>177285.86099999998</v>
      </c>
      <c r="H1098" s="9">
        <f>H1099</f>
        <v>159567.1991</v>
      </c>
      <c r="I1098" s="9">
        <f t="shared" si="569"/>
        <v>67.274921742255174</v>
      </c>
      <c r="J1098" s="9">
        <f t="shared" si="570"/>
        <v>90.005597851934752</v>
      </c>
    </row>
    <row r="1099" spans="1:10">
      <c r="A1099" s="8" t="s">
        <v>78</v>
      </c>
      <c r="B1099" s="1" t="s">
        <v>754</v>
      </c>
      <c r="C1099" s="1" t="s">
        <v>79</v>
      </c>
      <c r="D1099" s="9">
        <f>ведомство!G1846</f>
        <v>237514</v>
      </c>
      <c r="E1099" s="9">
        <f>ведомство!H1846</f>
        <v>237186.74800000002</v>
      </c>
      <c r="F1099" s="9">
        <f>ведомство!I1846</f>
        <v>177285.86099999998</v>
      </c>
      <c r="G1099" s="9">
        <f>ведомство!J1846</f>
        <v>177285.86099999998</v>
      </c>
      <c r="H1099" s="9">
        <f>ведомство!K1846</f>
        <v>159567.1991</v>
      </c>
      <c r="I1099" s="9">
        <f t="shared" si="569"/>
        <v>67.274921742255174</v>
      </c>
      <c r="J1099" s="9">
        <f t="shared" si="570"/>
        <v>90.005597851934752</v>
      </c>
    </row>
    <row r="1100" spans="1:10" ht="25.5">
      <c r="A1100" s="8" t="s">
        <v>64</v>
      </c>
      <c r="B1100" s="1" t="s">
        <v>754</v>
      </c>
      <c r="C1100" s="1" t="s">
        <v>65</v>
      </c>
      <c r="D1100" s="9">
        <f>D1101</f>
        <v>22167.599999999999</v>
      </c>
      <c r="E1100" s="9">
        <f>E1101</f>
        <v>22167.640210000001</v>
      </c>
      <c r="F1100" s="9">
        <f t="shared" ref="F1100:G1100" si="595">F1101</f>
        <v>15725.2</v>
      </c>
      <c r="G1100" s="9">
        <f t="shared" si="595"/>
        <v>15725.2</v>
      </c>
      <c r="H1100" s="9">
        <f>H1101</f>
        <v>14839.903780000001</v>
      </c>
      <c r="I1100" s="9">
        <f t="shared" si="569"/>
        <v>66.943994215972523</v>
      </c>
      <c r="J1100" s="9">
        <f t="shared" si="570"/>
        <v>94.370206929005676</v>
      </c>
    </row>
    <row r="1101" spans="1:10" ht="25.5">
      <c r="A1101" s="8" t="s">
        <v>66</v>
      </c>
      <c r="B1101" s="1" t="s">
        <v>754</v>
      </c>
      <c r="C1101" s="1" t="s">
        <v>67</v>
      </c>
      <c r="D1101" s="9">
        <f>ведомство!G1848</f>
        <v>22167.599999999999</v>
      </c>
      <c r="E1101" s="9">
        <f>ведомство!H1848</f>
        <v>22167.640210000001</v>
      </c>
      <c r="F1101" s="9">
        <f>ведомство!I1848</f>
        <v>15725.2</v>
      </c>
      <c r="G1101" s="9">
        <f>ведомство!J1848</f>
        <v>15725.2</v>
      </c>
      <c r="H1101" s="9">
        <f>ведомство!K1848</f>
        <v>14839.903780000001</v>
      </c>
      <c r="I1101" s="9">
        <f t="shared" si="569"/>
        <v>66.943994215972523</v>
      </c>
      <c r="J1101" s="9">
        <f t="shared" si="570"/>
        <v>94.370206929005676</v>
      </c>
    </row>
    <row r="1102" spans="1:10" s="42" customFormat="1">
      <c r="A1102" s="8" t="s">
        <v>68</v>
      </c>
      <c r="B1102" s="1" t="s">
        <v>754</v>
      </c>
      <c r="C1102" s="1">
        <v>300</v>
      </c>
      <c r="D1102" s="9">
        <f>D1103</f>
        <v>0</v>
      </c>
      <c r="E1102" s="9">
        <f>E1103</f>
        <v>327.25200000000001</v>
      </c>
      <c r="F1102" s="9">
        <f t="shared" ref="F1102:G1102" si="596">F1103</f>
        <v>327.25200000000001</v>
      </c>
      <c r="G1102" s="9">
        <f t="shared" si="596"/>
        <v>327.25200000000001</v>
      </c>
      <c r="H1102" s="9">
        <f>H1103</f>
        <v>327.22946000000002</v>
      </c>
      <c r="I1102" s="9">
        <f t="shared" ref="I1102:I1103" si="597">H1102/E1102*100</f>
        <v>99.99311234155941</v>
      </c>
      <c r="J1102" s="9">
        <f t="shared" ref="J1102:J1103" si="598">H1102/F1102*100</f>
        <v>99.99311234155941</v>
      </c>
    </row>
    <row r="1103" spans="1:10" s="42" customFormat="1" ht="25.5">
      <c r="A1103" s="8" t="s">
        <v>151</v>
      </c>
      <c r="B1103" s="1" t="s">
        <v>754</v>
      </c>
      <c r="C1103" s="1">
        <v>320</v>
      </c>
      <c r="D1103" s="9">
        <f>ведомство!G1850</f>
        <v>0</v>
      </c>
      <c r="E1103" s="9">
        <f>ведомство!H1850</f>
        <v>327.25200000000001</v>
      </c>
      <c r="F1103" s="9">
        <f>ведомство!I1850</f>
        <v>327.25200000000001</v>
      </c>
      <c r="G1103" s="9">
        <f>ведомство!J1850</f>
        <v>327.25200000000001</v>
      </c>
      <c r="H1103" s="9">
        <f>ведомство!K1850</f>
        <v>327.22946000000002</v>
      </c>
      <c r="I1103" s="9">
        <f t="shared" si="597"/>
        <v>99.99311234155941</v>
      </c>
      <c r="J1103" s="9">
        <f t="shared" si="598"/>
        <v>99.99311234155941</v>
      </c>
    </row>
    <row r="1104" spans="1:10">
      <c r="A1104" s="8" t="s">
        <v>72</v>
      </c>
      <c r="B1104" s="1" t="s">
        <v>754</v>
      </c>
      <c r="C1104" s="1" t="s">
        <v>73</v>
      </c>
      <c r="D1104" s="9">
        <f>D1105+D1106</f>
        <v>1173</v>
      </c>
      <c r="E1104" s="9">
        <f>E1105+E1106</f>
        <v>1173</v>
      </c>
      <c r="F1104" s="9">
        <f t="shared" ref="F1104:G1104" si="599">F1105+F1106</f>
        <v>778.3</v>
      </c>
      <c r="G1104" s="9">
        <f t="shared" si="599"/>
        <v>778.3</v>
      </c>
      <c r="H1104" s="9">
        <f>H1105+H1106</f>
        <v>630.26603999999998</v>
      </c>
      <c r="I1104" s="9">
        <f t="shared" si="569"/>
        <v>53.731120204603577</v>
      </c>
      <c r="J1104" s="9">
        <f t="shared" si="570"/>
        <v>80.979832969292048</v>
      </c>
    </row>
    <row r="1105" spans="1:10">
      <c r="A1105" s="8" t="s">
        <v>84</v>
      </c>
      <c r="B1105" s="1" t="s">
        <v>754</v>
      </c>
      <c r="C1105" s="1" t="s">
        <v>85</v>
      </c>
      <c r="D1105" s="9">
        <f>ведомство!G1852</f>
        <v>0.3</v>
      </c>
      <c r="E1105" s="9">
        <f>ведомство!H1852</f>
        <v>0.3</v>
      </c>
      <c r="F1105" s="9">
        <f>ведомство!I1852</f>
        <v>0</v>
      </c>
      <c r="G1105" s="9">
        <f>ведомство!J1852</f>
        <v>0</v>
      </c>
      <c r="H1105" s="9">
        <f>ведомство!K1852</f>
        <v>0</v>
      </c>
      <c r="I1105" s="9">
        <f t="shared" si="569"/>
        <v>0</v>
      </c>
      <c r="J1105" s="9">
        <v>0</v>
      </c>
    </row>
    <row r="1106" spans="1:10">
      <c r="A1106" s="8" t="s">
        <v>74</v>
      </c>
      <c r="B1106" s="1" t="s">
        <v>754</v>
      </c>
      <c r="C1106" s="1" t="s">
        <v>75</v>
      </c>
      <c r="D1106" s="9">
        <f>ведомство!G1853</f>
        <v>1172.7</v>
      </c>
      <c r="E1106" s="9">
        <f>ведомство!H1853</f>
        <v>1172.7</v>
      </c>
      <c r="F1106" s="9">
        <f>ведомство!I1853</f>
        <v>778.3</v>
      </c>
      <c r="G1106" s="9">
        <f>ведомство!J1853</f>
        <v>778.3</v>
      </c>
      <c r="H1106" s="9">
        <f>ведомство!K1853</f>
        <v>630.26603999999998</v>
      </c>
      <c r="I1106" s="9">
        <f t="shared" si="569"/>
        <v>53.744865694551038</v>
      </c>
      <c r="J1106" s="9">
        <f t="shared" si="570"/>
        <v>80.979832969292048</v>
      </c>
    </row>
    <row r="1107" spans="1:10" ht="25.5">
      <c r="A1107" s="8" t="s">
        <v>755</v>
      </c>
      <c r="B1107" s="1" t="s">
        <v>756</v>
      </c>
      <c r="C1107" s="1" t="s">
        <v>0</v>
      </c>
      <c r="D1107" s="9">
        <f>D1108+D1110+D1113</f>
        <v>65913.5</v>
      </c>
      <c r="E1107" s="9">
        <f>E1108+E1110+E1113</f>
        <v>65913.493999999992</v>
      </c>
      <c r="F1107" s="9">
        <f t="shared" ref="F1107:G1107" si="600">F1108+F1110+F1113</f>
        <v>49090.686000000002</v>
      </c>
      <c r="G1107" s="9">
        <f t="shared" si="600"/>
        <v>49090.686000000002</v>
      </c>
      <c r="H1107" s="9">
        <f>H1108+H1110+H1113</f>
        <v>47566.828739999997</v>
      </c>
      <c r="I1107" s="9">
        <f t="shared" si="569"/>
        <v>72.165539790683837</v>
      </c>
      <c r="J1107" s="9">
        <f t="shared" si="570"/>
        <v>96.895832215504171</v>
      </c>
    </row>
    <row r="1108" spans="1:10" ht="25.5">
      <c r="A1108" s="8" t="s">
        <v>64</v>
      </c>
      <c r="B1108" s="1" t="s">
        <v>756</v>
      </c>
      <c r="C1108" s="1" t="s">
        <v>65</v>
      </c>
      <c r="D1108" s="9">
        <f>D1109</f>
        <v>33794.800000000003</v>
      </c>
      <c r="E1108" s="9">
        <f>E1109</f>
        <v>33794.754000000001</v>
      </c>
      <c r="F1108" s="9">
        <f t="shared" ref="F1108:G1108" si="601">F1109</f>
        <v>22606.404999999999</v>
      </c>
      <c r="G1108" s="9">
        <f t="shared" si="601"/>
        <v>22606.404999999999</v>
      </c>
      <c r="H1108" s="9">
        <f>H1109</f>
        <v>22264.642899999999</v>
      </c>
      <c r="I1108" s="9">
        <f t="shared" si="569"/>
        <v>65.881949902638723</v>
      </c>
      <c r="J1108" s="9">
        <f t="shared" si="570"/>
        <v>98.488206771487995</v>
      </c>
    </row>
    <row r="1109" spans="1:10" ht="25.5">
      <c r="A1109" s="8" t="s">
        <v>66</v>
      </c>
      <c r="B1109" s="1" t="s">
        <v>756</v>
      </c>
      <c r="C1109" s="1" t="s">
        <v>67</v>
      </c>
      <c r="D1109" s="9">
        <f>ведомство!G1856</f>
        <v>33794.800000000003</v>
      </c>
      <c r="E1109" s="9">
        <f>ведомство!H1856</f>
        <v>33794.754000000001</v>
      </c>
      <c r="F1109" s="9">
        <f>ведомство!I1856</f>
        <v>22606.404999999999</v>
      </c>
      <c r="G1109" s="9">
        <f>ведомство!J1856</f>
        <v>22606.404999999999</v>
      </c>
      <c r="H1109" s="9">
        <f>ведомство!K1856</f>
        <v>22264.642899999999</v>
      </c>
      <c r="I1109" s="9">
        <f t="shared" si="569"/>
        <v>65.881949902638723</v>
      </c>
      <c r="J1109" s="9">
        <f t="shared" si="570"/>
        <v>98.488206771487995</v>
      </c>
    </row>
    <row r="1110" spans="1:10">
      <c r="A1110" s="8" t="s">
        <v>68</v>
      </c>
      <c r="B1110" s="1" t="s">
        <v>756</v>
      </c>
      <c r="C1110" s="1" t="s">
        <v>69</v>
      </c>
      <c r="D1110" s="9">
        <f>D1111+D1112</f>
        <v>31492.799999999999</v>
      </c>
      <c r="E1110" s="9">
        <f>E1111+E1112</f>
        <v>31492.84</v>
      </c>
      <c r="F1110" s="9">
        <f t="shared" ref="F1110:G1110" si="602">F1111+F1112</f>
        <v>26011.061000000002</v>
      </c>
      <c r="G1110" s="9">
        <f t="shared" si="602"/>
        <v>26011.061000000002</v>
      </c>
      <c r="H1110" s="9">
        <f>H1111+H1112</f>
        <v>24879.437839999999</v>
      </c>
      <c r="I1110" s="9">
        <f t="shared" si="569"/>
        <v>79.000299242621494</v>
      </c>
      <c r="J1110" s="9">
        <f t="shared" si="570"/>
        <v>95.649454053412114</v>
      </c>
    </row>
    <row r="1111" spans="1:10" ht="25.5">
      <c r="A1111" s="8" t="s">
        <v>151</v>
      </c>
      <c r="B1111" s="1" t="s">
        <v>756</v>
      </c>
      <c r="C1111" s="1" t="s">
        <v>152</v>
      </c>
      <c r="D1111" s="9">
        <f>ведомство!G1858</f>
        <v>15355.8</v>
      </c>
      <c r="E1111" s="9">
        <f>ведомство!H1858</f>
        <v>15355.84</v>
      </c>
      <c r="F1111" s="9">
        <f>ведомство!I1858</f>
        <v>12452.280999999999</v>
      </c>
      <c r="G1111" s="9">
        <f>ведомство!J1858</f>
        <v>12452.280999999999</v>
      </c>
      <c r="H1111" s="9">
        <f>ведомство!K1858</f>
        <v>12157.26116</v>
      </c>
      <c r="I1111" s="9">
        <f t="shared" si="569"/>
        <v>79.170277627274061</v>
      </c>
      <c r="J1111" s="9">
        <f t="shared" si="570"/>
        <v>97.630796799397643</v>
      </c>
    </row>
    <row r="1112" spans="1:10">
      <c r="A1112" s="8" t="s">
        <v>70</v>
      </c>
      <c r="B1112" s="1" t="s">
        <v>756</v>
      </c>
      <c r="C1112" s="1" t="s">
        <v>71</v>
      </c>
      <c r="D1112" s="9">
        <f>ведомство!G1859</f>
        <v>16137</v>
      </c>
      <c r="E1112" s="9">
        <f>ведомство!H1859</f>
        <v>16137</v>
      </c>
      <c r="F1112" s="9">
        <f>ведомство!I1859</f>
        <v>13558.78</v>
      </c>
      <c r="G1112" s="9">
        <f>ведомство!J1859</f>
        <v>13558.78</v>
      </c>
      <c r="H1112" s="9">
        <f>ведомство!K1859</f>
        <v>12722.17668</v>
      </c>
      <c r="I1112" s="9">
        <f t="shared" si="569"/>
        <v>78.838549172708682</v>
      </c>
      <c r="J1112" s="9">
        <f t="shared" si="570"/>
        <v>93.82980386140936</v>
      </c>
    </row>
    <row r="1113" spans="1:10">
      <c r="A1113" s="8" t="s">
        <v>72</v>
      </c>
      <c r="B1113" s="1" t="s">
        <v>756</v>
      </c>
      <c r="C1113" s="1" t="s">
        <v>73</v>
      </c>
      <c r="D1113" s="9">
        <f>D1114</f>
        <v>625.9</v>
      </c>
      <c r="E1113" s="9">
        <f>E1114</f>
        <v>625.9</v>
      </c>
      <c r="F1113" s="9">
        <f t="shared" ref="F1113:G1113" si="603">F1114</f>
        <v>473.22</v>
      </c>
      <c r="G1113" s="9">
        <f t="shared" si="603"/>
        <v>473.22</v>
      </c>
      <c r="H1113" s="9">
        <f>H1114</f>
        <v>422.74799999999999</v>
      </c>
      <c r="I1113" s="9">
        <f t="shared" si="569"/>
        <v>67.542418916759871</v>
      </c>
      <c r="J1113" s="9">
        <f t="shared" si="570"/>
        <v>89.334347660707493</v>
      </c>
    </row>
    <row r="1114" spans="1:10" ht="38.25">
      <c r="A1114" s="8" t="s">
        <v>218</v>
      </c>
      <c r="B1114" s="1" t="s">
        <v>756</v>
      </c>
      <c r="C1114" s="1" t="s">
        <v>219</v>
      </c>
      <c r="D1114" s="9">
        <f>ведомство!G1861</f>
        <v>625.9</v>
      </c>
      <c r="E1114" s="9">
        <f>ведомство!H1861</f>
        <v>625.9</v>
      </c>
      <c r="F1114" s="9">
        <f>ведомство!I1861</f>
        <v>473.22</v>
      </c>
      <c r="G1114" s="9">
        <f>ведомство!J1861</f>
        <v>473.22</v>
      </c>
      <c r="H1114" s="9">
        <f>ведомство!K1861</f>
        <v>422.74799999999999</v>
      </c>
      <c r="I1114" s="9">
        <f t="shared" si="569"/>
        <v>67.542418916759871</v>
      </c>
      <c r="J1114" s="9">
        <f t="shared" si="570"/>
        <v>89.334347660707493</v>
      </c>
    </row>
    <row r="1115" spans="1:10">
      <c r="A1115" s="4" t="s">
        <v>0</v>
      </c>
      <c r="B1115" s="17" t="s">
        <v>0</v>
      </c>
      <c r="C1115" s="5" t="s">
        <v>0</v>
      </c>
      <c r="D1115" s="7" t="s">
        <v>0</v>
      </c>
      <c r="E1115" s="7" t="s">
        <v>0</v>
      </c>
      <c r="F1115" s="7" t="s">
        <v>0</v>
      </c>
      <c r="G1115" s="7" t="s">
        <v>0</v>
      </c>
      <c r="H1115" s="7" t="s">
        <v>0</v>
      </c>
      <c r="I1115" s="7"/>
      <c r="J1115" s="7"/>
    </row>
    <row r="1116" spans="1:10" ht="25.5">
      <c r="A1116" s="4" t="s">
        <v>744</v>
      </c>
      <c r="B1116" s="5" t="s">
        <v>745</v>
      </c>
      <c r="C1116" s="5" t="s">
        <v>0</v>
      </c>
      <c r="D1116" s="7">
        <f t="shared" ref="D1116:H1118" si="604">D1117</f>
        <v>9848.7999999999993</v>
      </c>
      <c r="E1116" s="7">
        <f t="shared" si="604"/>
        <v>9848.7999999999993</v>
      </c>
      <c r="F1116" s="7">
        <f t="shared" si="604"/>
        <v>7388.4</v>
      </c>
      <c r="G1116" s="7">
        <f t="shared" si="604"/>
        <v>7388.4</v>
      </c>
      <c r="H1116" s="7">
        <f t="shared" si="604"/>
        <v>6257.4193999999998</v>
      </c>
      <c r="I1116" s="7">
        <f t="shared" si="569"/>
        <v>63.534840792786937</v>
      </c>
      <c r="J1116" s="7">
        <f t="shared" si="570"/>
        <v>84.692482810892756</v>
      </c>
    </row>
    <row r="1117" spans="1:10" ht="25.5">
      <c r="A1117" s="8" t="s">
        <v>746</v>
      </c>
      <c r="B1117" s="1" t="s">
        <v>747</v>
      </c>
      <c r="C1117" s="1" t="s">
        <v>0</v>
      </c>
      <c r="D1117" s="9">
        <f t="shared" si="604"/>
        <v>9848.7999999999993</v>
      </c>
      <c r="E1117" s="9">
        <f t="shared" si="604"/>
        <v>9848.7999999999993</v>
      </c>
      <c r="F1117" s="9">
        <f t="shared" si="604"/>
        <v>7388.4</v>
      </c>
      <c r="G1117" s="9">
        <f t="shared" si="604"/>
        <v>7388.4</v>
      </c>
      <c r="H1117" s="9">
        <f t="shared" si="604"/>
        <v>6257.4193999999998</v>
      </c>
      <c r="I1117" s="9">
        <f t="shared" si="569"/>
        <v>63.534840792786937</v>
      </c>
      <c r="J1117" s="9">
        <f t="shared" si="570"/>
        <v>84.692482810892756</v>
      </c>
    </row>
    <row r="1118" spans="1:10">
      <c r="A1118" s="8" t="s">
        <v>26</v>
      </c>
      <c r="B1118" s="1" t="s">
        <v>747</v>
      </c>
      <c r="C1118" s="1" t="s">
        <v>27</v>
      </c>
      <c r="D1118" s="9">
        <f t="shared" si="604"/>
        <v>9848.7999999999993</v>
      </c>
      <c r="E1118" s="9">
        <f t="shared" si="604"/>
        <v>9848.7999999999993</v>
      </c>
      <c r="F1118" s="9">
        <f t="shared" si="604"/>
        <v>7388.4</v>
      </c>
      <c r="G1118" s="9">
        <f t="shared" si="604"/>
        <v>7388.4</v>
      </c>
      <c r="H1118" s="9">
        <f t="shared" si="604"/>
        <v>6257.4193999999998</v>
      </c>
      <c r="I1118" s="9">
        <f t="shared" si="569"/>
        <v>63.534840792786937</v>
      </c>
      <c r="J1118" s="9">
        <f t="shared" si="570"/>
        <v>84.692482810892756</v>
      </c>
    </row>
    <row r="1119" spans="1:10">
      <c r="A1119" s="8" t="s">
        <v>28</v>
      </c>
      <c r="B1119" s="1" t="s">
        <v>747</v>
      </c>
      <c r="C1119" s="1" t="s">
        <v>29</v>
      </c>
      <c r="D1119" s="9">
        <f>ведомство!G1809</f>
        <v>9848.7999999999993</v>
      </c>
      <c r="E1119" s="9">
        <f>ведомство!H1809</f>
        <v>9848.7999999999993</v>
      </c>
      <c r="F1119" s="9">
        <f>ведомство!I1809</f>
        <v>7388.4</v>
      </c>
      <c r="G1119" s="9">
        <f>ведомство!J1809</f>
        <v>7388.4</v>
      </c>
      <c r="H1119" s="9">
        <f>ведомство!K1809</f>
        <v>6257.4193999999998</v>
      </c>
      <c r="I1119" s="9">
        <f t="shared" si="569"/>
        <v>63.534840792786937</v>
      </c>
      <c r="J1119" s="9">
        <f t="shared" si="570"/>
        <v>84.692482810892756</v>
      </c>
    </row>
    <row r="1120" spans="1:10">
      <c r="A1120" s="4" t="s">
        <v>0</v>
      </c>
      <c r="B1120" s="17" t="s">
        <v>0</v>
      </c>
      <c r="C1120" s="5" t="s">
        <v>0</v>
      </c>
      <c r="D1120" s="7" t="s">
        <v>0</v>
      </c>
      <c r="E1120" s="7" t="s">
        <v>0</v>
      </c>
      <c r="F1120" s="7" t="s">
        <v>0</v>
      </c>
      <c r="G1120" s="7" t="s">
        <v>0</v>
      </c>
      <c r="H1120" s="7" t="s">
        <v>0</v>
      </c>
      <c r="I1120" s="7"/>
      <c r="J1120" s="7"/>
    </row>
    <row r="1121" spans="1:10" ht="25.5">
      <c r="A1121" s="4" t="s">
        <v>757</v>
      </c>
      <c r="B1121" s="5" t="s">
        <v>758</v>
      </c>
      <c r="C1121" s="5" t="s">
        <v>0</v>
      </c>
      <c r="D1121" s="7">
        <f>D1125+D1122</f>
        <v>6451.5</v>
      </c>
      <c r="E1121" s="7">
        <f>E1125+E1122</f>
        <v>22500</v>
      </c>
      <c r="F1121" s="7">
        <f t="shared" ref="F1121:G1121" si="605">F1125+F1122</f>
        <v>2680</v>
      </c>
      <c r="G1121" s="7">
        <f t="shared" si="605"/>
        <v>1490</v>
      </c>
      <c r="H1121" s="7">
        <f>H1125+H1122</f>
        <v>1450.7689599999999</v>
      </c>
      <c r="I1121" s="7">
        <f t="shared" si="569"/>
        <v>6.4478620444444443</v>
      </c>
      <c r="J1121" s="7">
        <f>H1121/F1121*100</f>
        <v>54.133170149253729</v>
      </c>
    </row>
    <row r="1122" spans="1:10" s="42" customFormat="1" ht="25.5">
      <c r="A1122" s="8" t="s">
        <v>1180</v>
      </c>
      <c r="B1122" s="24" t="s">
        <v>1179</v>
      </c>
      <c r="C1122" s="6"/>
      <c r="D1122" s="22">
        <f>D1123</f>
        <v>0</v>
      </c>
      <c r="E1122" s="22">
        <f>E1123</f>
        <v>16048.5</v>
      </c>
      <c r="F1122" s="22">
        <f t="shared" ref="F1122:G1123" si="606">F1123</f>
        <v>1060</v>
      </c>
      <c r="G1122" s="22">
        <f t="shared" si="606"/>
        <v>1060</v>
      </c>
      <c r="H1122" s="22">
        <f>H1123</f>
        <v>1034.3982699999999</v>
      </c>
      <c r="I1122" s="22">
        <f t="shared" ref="I1122:I1124" si="607">H1122/E1122*100</f>
        <v>6.4454514129046316</v>
      </c>
      <c r="J1122" s="9">
        <f t="shared" ref="J1122:J1127" si="608">H1122/F1122*100</f>
        <v>97.58474245283017</v>
      </c>
    </row>
    <row r="1123" spans="1:10" s="42" customFormat="1">
      <c r="A1123" s="8" t="s">
        <v>72</v>
      </c>
      <c r="B1123" s="24" t="s">
        <v>1179</v>
      </c>
      <c r="C1123" s="1" t="s">
        <v>73</v>
      </c>
      <c r="D1123" s="22">
        <f>D1124</f>
        <v>0</v>
      </c>
      <c r="E1123" s="22">
        <f>E1124</f>
        <v>16048.5</v>
      </c>
      <c r="F1123" s="22">
        <f t="shared" si="606"/>
        <v>1060</v>
      </c>
      <c r="G1123" s="22">
        <f t="shared" si="606"/>
        <v>1060</v>
      </c>
      <c r="H1123" s="22">
        <f>H1124</f>
        <v>1034.3982699999999</v>
      </c>
      <c r="I1123" s="22">
        <f t="shared" si="607"/>
        <v>6.4454514129046316</v>
      </c>
      <c r="J1123" s="9">
        <f t="shared" si="608"/>
        <v>97.58474245283017</v>
      </c>
    </row>
    <row r="1124" spans="1:10" s="42" customFormat="1" ht="38.25">
      <c r="A1124" s="8" t="s">
        <v>218</v>
      </c>
      <c r="B1124" s="24" t="s">
        <v>1179</v>
      </c>
      <c r="C1124" s="1" t="s">
        <v>219</v>
      </c>
      <c r="D1124" s="22">
        <f>ведомство!G1865</f>
        <v>0</v>
      </c>
      <c r="E1124" s="22">
        <f>ведомство!H1865</f>
        <v>16048.5</v>
      </c>
      <c r="F1124" s="22">
        <f>ведомство!I1865</f>
        <v>1060</v>
      </c>
      <c r="G1124" s="22">
        <f>ведомство!J1865</f>
        <v>1060</v>
      </c>
      <c r="H1124" s="22">
        <f>ведомство!K1865</f>
        <v>1034.3982699999999</v>
      </c>
      <c r="I1124" s="22">
        <f t="shared" si="607"/>
        <v>6.4454514129046316</v>
      </c>
      <c r="J1124" s="9">
        <f t="shared" si="608"/>
        <v>97.58474245283017</v>
      </c>
    </row>
    <row r="1125" spans="1:10" ht="25.5">
      <c r="A1125" s="8" t="s">
        <v>759</v>
      </c>
      <c r="B1125" s="1" t="s">
        <v>760</v>
      </c>
      <c r="C1125" s="1" t="s">
        <v>0</v>
      </c>
      <c r="D1125" s="9">
        <f>D1126</f>
        <v>6451.5</v>
      </c>
      <c r="E1125" s="9">
        <f>E1126</f>
        <v>6451.5</v>
      </c>
      <c r="F1125" s="9">
        <f t="shared" ref="F1125:G1126" si="609">F1126</f>
        <v>1620</v>
      </c>
      <c r="G1125" s="9">
        <f t="shared" si="609"/>
        <v>430</v>
      </c>
      <c r="H1125" s="9">
        <f>H1126</f>
        <v>416.37069000000002</v>
      </c>
      <c r="I1125" s="9">
        <f t="shared" ref="I1125:I1192" si="610">H1125/E1125*100</f>
        <v>6.4538586375261566</v>
      </c>
      <c r="J1125" s="9">
        <f t="shared" si="608"/>
        <v>25.701894444444445</v>
      </c>
    </row>
    <row r="1126" spans="1:10">
      <c r="A1126" s="8" t="s">
        <v>72</v>
      </c>
      <c r="B1126" s="1" t="s">
        <v>760</v>
      </c>
      <c r="C1126" s="1" t="s">
        <v>73</v>
      </c>
      <c r="D1126" s="9">
        <f>D1127</f>
        <v>6451.5</v>
      </c>
      <c r="E1126" s="9">
        <f>E1127</f>
        <v>6451.5</v>
      </c>
      <c r="F1126" s="9">
        <f t="shared" si="609"/>
        <v>1620</v>
      </c>
      <c r="G1126" s="9">
        <f t="shared" si="609"/>
        <v>430</v>
      </c>
      <c r="H1126" s="9">
        <f>H1127</f>
        <v>416.37069000000002</v>
      </c>
      <c r="I1126" s="9">
        <f t="shared" si="610"/>
        <v>6.4538586375261566</v>
      </c>
      <c r="J1126" s="9">
        <f t="shared" si="608"/>
        <v>25.701894444444445</v>
      </c>
    </row>
    <row r="1127" spans="1:10" ht="38.25">
      <c r="A1127" s="8" t="s">
        <v>218</v>
      </c>
      <c r="B1127" s="1" t="s">
        <v>760</v>
      </c>
      <c r="C1127" s="1" t="s">
        <v>219</v>
      </c>
      <c r="D1127" s="9">
        <f>ведомство!G1868</f>
        <v>6451.5</v>
      </c>
      <c r="E1127" s="9">
        <f>ведомство!H1868</f>
        <v>6451.5</v>
      </c>
      <c r="F1127" s="9">
        <f>ведомство!I1868</f>
        <v>1620</v>
      </c>
      <c r="G1127" s="9">
        <f>ведомство!J1868</f>
        <v>430</v>
      </c>
      <c r="H1127" s="9">
        <f>ведомство!K1868</f>
        <v>416.37069000000002</v>
      </c>
      <c r="I1127" s="9">
        <f t="shared" si="610"/>
        <v>6.4538586375261566</v>
      </c>
      <c r="J1127" s="9">
        <f t="shared" si="608"/>
        <v>25.701894444444445</v>
      </c>
    </row>
    <row r="1128" spans="1:10">
      <c r="A1128" s="4" t="s">
        <v>0</v>
      </c>
      <c r="B1128" s="17" t="s">
        <v>0</v>
      </c>
      <c r="C1128" s="5" t="s">
        <v>0</v>
      </c>
      <c r="D1128" s="7" t="s">
        <v>0</v>
      </c>
      <c r="E1128" s="7" t="s">
        <v>0</v>
      </c>
      <c r="F1128" s="7" t="s">
        <v>0</v>
      </c>
      <c r="G1128" s="7" t="s">
        <v>0</v>
      </c>
      <c r="H1128" s="7" t="s">
        <v>0</v>
      </c>
      <c r="I1128" s="7"/>
      <c r="J1128" s="7"/>
    </row>
    <row r="1129" spans="1:10" ht="38.25">
      <c r="A1129" s="4" t="s">
        <v>892</v>
      </c>
      <c r="B1129" s="5" t="s">
        <v>893</v>
      </c>
      <c r="C1129" s="5" t="s">
        <v>0</v>
      </c>
      <c r="D1129" s="7">
        <f>D1133</f>
        <v>58.7</v>
      </c>
      <c r="E1129" s="7">
        <f>E1133+E1130</f>
        <v>1170</v>
      </c>
      <c r="F1129" s="7">
        <f t="shared" ref="F1129:G1129" si="611">F1133+F1130</f>
        <v>0</v>
      </c>
      <c r="G1129" s="7">
        <f t="shared" si="611"/>
        <v>0</v>
      </c>
      <c r="H1129" s="7">
        <f>H1133+H1130</f>
        <v>0</v>
      </c>
      <c r="I1129" s="7">
        <f t="shared" si="610"/>
        <v>0</v>
      </c>
      <c r="J1129" s="7">
        <v>0</v>
      </c>
    </row>
    <row r="1130" spans="1:10" s="92" customFormat="1" ht="63.75">
      <c r="A1130" s="59" t="s">
        <v>1272</v>
      </c>
      <c r="B1130" s="29" t="s">
        <v>1271</v>
      </c>
      <c r="C1130" s="58"/>
      <c r="D1130" s="22">
        <v>0</v>
      </c>
      <c r="E1130" s="22">
        <f>E1131</f>
        <v>1111.3</v>
      </c>
      <c r="F1130" s="22">
        <f t="shared" ref="F1130:G1131" si="612">F1131</f>
        <v>0</v>
      </c>
      <c r="G1130" s="22">
        <f t="shared" si="612"/>
        <v>0</v>
      </c>
      <c r="H1130" s="22">
        <f>H1131</f>
        <v>0</v>
      </c>
      <c r="I1130" s="22">
        <f t="shared" ref="I1130:I1132" si="613">H1130/E1130*100</f>
        <v>0</v>
      </c>
      <c r="J1130" s="22">
        <v>0</v>
      </c>
    </row>
    <row r="1131" spans="1:10" s="92" customFormat="1">
      <c r="A1131" s="59" t="s">
        <v>68</v>
      </c>
      <c r="B1131" s="29" t="s">
        <v>1271</v>
      </c>
      <c r="C1131" s="58">
        <v>300</v>
      </c>
      <c r="D1131" s="22">
        <v>0</v>
      </c>
      <c r="E1131" s="22">
        <f>E1132</f>
        <v>1111.3</v>
      </c>
      <c r="F1131" s="22">
        <f t="shared" si="612"/>
        <v>0</v>
      </c>
      <c r="G1131" s="22">
        <f t="shared" si="612"/>
        <v>0</v>
      </c>
      <c r="H1131" s="22">
        <f>H1132</f>
        <v>0</v>
      </c>
      <c r="I1131" s="22">
        <f t="shared" si="613"/>
        <v>0</v>
      </c>
      <c r="J1131" s="22">
        <v>0</v>
      </c>
    </row>
    <row r="1132" spans="1:10" s="92" customFormat="1">
      <c r="A1132" s="59" t="s">
        <v>70</v>
      </c>
      <c r="B1132" s="29" t="s">
        <v>1271</v>
      </c>
      <c r="C1132" s="58">
        <v>360</v>
      </c>
      <c r="D1132" s="22">
        <v>0</v>
      </c>
      <c r="E1132" s="22">
        <f>ведомство!H2226</f>
        <v>1111.3</v>
      </c>
      <c r="F1132" s="22">
        <f>ведомство!I2226</f>
        <v>0</v>
      </c>
      <c r="G1132" s="22">
        <f>ведомство!J2226</f>
        <v>0</v>
      </c>
      <c r="H1132" s="22">
        <f>ведомство!K2226</f>
        <v>0</v>
      </c>
      <c r="I1132" s="22">
        <f t="shared" si="613"/>
        <v>0</v>
      </c>
      <c r="J1132" s="22">
        <v>0</v>
      </c>
    </row>
    <row r="1133" spans="1:10" ht="63.75">
      <c r="A1133" s="8" t="s">
        <v>894</v>
      </c>
      <c r="B1133" s="1" t="s">
        <v>895</v>
      </c>
      <c r="C1133" s="1" t="s">
        <v>0</v>
      </c>
      <c r="D1133" s="9">
        <f t="shared" ref="D1133:H1134" si="614">D1134</f>
        <v>58.7</v>
      </c>
      <c r="E1133" s="9">
        <f t="shared" si="614"/>
        <v>58.7</v>
      </c>
      <c r="F1133" s="9">
        <f t="shared" si="614"/>
        <v>0</v>
      </c>
      <c r="G1133" s="9">
        <f t="shared" si="614"/>
        <v>0</v>
      </c>
      <c r="H1133" s="9">
        <f t="shared" si="614"/>
        <v>0</v>
      </c>
      <c r="I1133" s="9">
        <f t="shared" si="610"/>
        <v>0</v>
      </c>
      <c r="J1133" s="9">
        <v>0</v>
      </c>
    </row>
    <row r="1134" spans="1:10">
      <c r="A1134" s="8" t="s">
        <v>68</v>
      </c>
      <c r="B1134" s="1" t="s">
        <v>895</v>
      </c>
      <c r="C1134" s="1" t="s">
        <v>69</v>
      </c>
      <c r="D1134" s="9">
        <f t="shared" si="614"/>
        <v>58.7</v>
      </c>
      <c r="E1134" s="9">
        <f t="shared" si="614"/>
        <v>58.7</v>
      </c>
      <c r="F1134" s="9">
        <f t="shared" si="614"/>
        <v>0</v>
      </c>
      <c r="G1134" s="9">
        <f t="shared" si="614"/>
        <v>0</v>
      </c>
      <c r="H1134" s="9">
        <f t="shared" si="614"/>
        <v>0</v>
      </c>
      <c r="I1134" s="9">
        <f t="shared" si="610"/>
        <v>0</v>
      </c>
      <c r="J1134" s="9">
        <v>0</v>
      </c>
    </row>
    <row r="1135" spans="1:10">
      <c r="A1135" s="8" t="s">
        <v>70</v>
      </c>
      <c r="B1135" s="1" t="s">
        <v>895</v>
      </c>
      <c r="C1135" s="1" t="s">
        <v>71</v>
      </c>
      <c r="D1135" s="9">
        <f>ведомство!G2229</f>
        <v>58.7</v>
      </c>
      <c r="E1135" s="9">
        <f>ведомство!H2229</f>
        <v>58.7</v>
      </c>
      <c r="F1135" s="9">
        <f>ведомство!I2229</f>
        <v>0</v>
      </c>
      <c r="G1135" s="9">
        <f>ведомство!J2229</f>
        <v>0</v>
      </c>
      <c r="H1135" s="9">
        <f>ведомство!K2229</f>
        <v>0</v>
      </c>
      <c r="I1135" s="9">
        <f t="shared" si="610"/>
        <v>0</v>
      </c>
      <c r="J1135" s="9">
        <v>0</v>
      </c>
    </row>
    <row r="1136" spans="1:10">
      <c r="A1136" s="4" t="s">
        <v>0</v>
      </c>
      <c r="B1136" s="17" t="s">
        <v>0</v>
      </c>
      <c r="C1136" s="5" t="s">
        <v>0</v>
      </c>
      <c r="D1136" s="7" t="s">
        <v>0</v>
      </c>
      <c r="E1136" s="7" t="s">
        <v>0</v>
      </c>
      <c r="F1136" s="7" t="s">
        <v>0</v>
      </c>
      <c r="G1136" s="7" t="s">
        <v>0</v>
      </c>
      <c r="H1136" s="7" t="s">
        <v>0</v>
      </c>
      <c r="I1136" s="7"/>
      <c r="J1136" s="7"/>
    </row>
    <row r="1137" spans="1:10" ht="63.75">
      <c r="A1137" s="4" t="s">
        <v>86</v>
      </c>
      <c r="B1137" s="5" t="s">
        <v>87</v>
      </c>
      <c r="C1137" s="5" t="s">
        <v>0</v>
      </c>
      <c r="D1137" s="7">
        <f>D1138+D1151+D1168</f>
        <v>9678.5</v>
      </c>
      <c r="E1137" s="7">
        <f>E1138+E1151+E1168</f>
        <v>9678.5439999999999</v>
      </c>
      <c r="F1137" s="7">
        <f t="shared" ref="F1137:G1137" si="615">F1138+F1151+F1168</f>
        <v>3231.143</v>
      </c>
      <c r="G1137" s="7">
        <f t="shared" si="615"/>
        <v>3205.83392</v>
      </c>
      <c r="H1137" s="7">
        <f>H1138+H1151+H1168</f>
        <v>2994.3684199999998</v>
      </c>
      <c r="I1137" s="7">
        <f t="shared" si="610"/>
        <v>30.938211573972279</v>
      </c>
      <c r="J1137" s="7">
        <f t="shared" ref="J1137:J1192" si="616">H1137/F1137*100</f>
        <v>92.672110766994834</v>
      </c>
    </row>
    <row r="1138" spans="1:10" ht="51">
      <c r="A1138" s="4" t="s">
        <v>443</v>
      </c>
      <c r="B1138" s="5" t="s">
        <v>444</v>
      </c>
      <c r="C1138" s="5" t="s">
        <v>0</v>
      </c>
      <c r="D1138" s="7">
        <f>D1139+D1144+D1147</f>
        <v>1212</v>
      </c>
      <c r="E1138" s="7">
        <f>E1139+E1144+E1147</f>
        <v>1212</v>
      </c>
      <c r="F1138" s="7">
        <f t="shared" ref="F1138:G1138" si="617">F1139+F1144+F1147</f>
        <v>1048.5630000000001</v>
      </c>
      <c r="G1138" s="7">
        <f t="shared" si="617"/>
        <v>1048.5630000000001</v>
      </c>
      <c r="H1138" s="7">
        <f>H1139+H1144+H1147</f>
        <v>1048.5630000000001</v>
      </c>
      <c r="I1138" s="7">
        <f t="shared" si="610"/>
        <v>86.515099009900993</v>
      </c>
      <c r="J1138" s="7">
        <f t="shared" si="616"/>
        <v>100</v>
      </c>
    </row>
    <row r="1139" spans="1:10" ht="25.5">
      <c r="A1139" s="8" t="s">
        <v>983</v>
      </c>
      <c r="B1139" s="1" t="s">
        <v>984</v>
      </c>
      <c r="C1139" s="1" t="s">
        <v>0</v>
      </c>
      <c r="D1139" s="9">
        <f>D1140+D1142</f>
        <v>162</v>
      </c>
      <c r="E1139" s="9">
        <f>E1140+E1142</f>
        <v>162</v>
      </c>
      <c r="F1139" s="9">
        <f t="shared" ref="F1139:G1139" si="618">F1140+F1142</f>
        <v>112</v>
      </c>
      <c r="G1139" s="9">
        <f t="shared" si="618"/>
        <v>112</v>
      </c>
      <c r="H1139" s="9">
        <f>H1140+H1142</f>
        <v>112</v>
      </c>
      <c r="I1139" s="9">
        <f t="shared" si="610"/>
        <v>69.135802469135797</v>
      </c>
      <c r="J1139" s="9">
        <f t="shared" si="616"/>
        <v>100</v>
      </c>
    </row>
    <row r="1140" spans="1:10">
      <c r="A1140" s="8" t="s">
        <v>68</v>
      </c>
      <c r="B1140" s="1" t="s">
        <v>984</v>
      </c>
      <c r="C1140" s="1" t="s">
        <v>69</v>
      </c>
      <c r="D1140" s="9">
        <f>D1141</f>
        <v>50</v>
      </c>
      <c r="E1140" s="9">
        <f>E1141</f>
        <v>50</v>
      </c>
      <c r="F1140" s="9">
        <f t="shared" ref="F1140:G1140" si="619">F1141</f>
        <v>0</v>
      </c>
      <c r="G1140" s="9">
        <f t="shared" si="619"/>
        <v>0</v>
      </c>
      <c r="H1140" s="9">
        <f>H1141</f>
        <v>0</v>
      </c>
      <c r="I1140" s="9">
        <f t="shared" si="610"/>
        <v>0</v>
      </c>
      <c r="J1140" s="9">
        <v>0</v>
      </c>
    </row>
    <row r="1141" spans="1:10">
      <c r="A1141" s="8" t="s">
        <v>373</v>
      </c>
      <c r="B1141" s="1" t="s">
        <v>984</v>
      </c>
      <c r="C1141" s="1" t="s">
        <v>374</v>
      </c>
      <c r="D1141" s="9">
        <f>ведомство!G2588</f>
        <v>50</v>
      </c>
      <c r="E1141" s="9">
        <f>ведомство!H2588</f>
        <v>50</v>
      </c>
      <c r="F1141" s="9">
        <f>ведомство!I2588</f>
        <v>0</v>
      </c>
      <c r="G1141" s="9">
        <f>ведомство!J2588</f>
        <v>0</v>
      </c>
      <c r="H1141" s="9">
        <f>ведомство!K2588</f>
        <v>0</v>
      </c>
      <c r="I1141" s="9">
        <f t="shared" si="610"/>
        <v>0</v>
      </c>
      <c r="J1141" s="9">
        <v>0</v>
      </c>
    </row>
    <row r="1142" spans="1:10" ht="25.5">
      <c r="A1142" s="8" t="s">
        <v>80</v>
      </c>
      <c r="B1142" s="1" t="s">
        <v>984</v>
      </c>
      <c r="C1142" s="1" t="s">
        <v>81</v>
      </c>
      <c r="D1142" s="9">
        <f>D1143</f>
        <v>112</v>
      </c>
      <c r="E1142" s="9">
        <f>E1143</f>
        <v>112</v>
      </c>
      <c r="F1142" s="9">
        <f t="shared" ref="F1142:G1142" si="620">F1143</f>
        <v>112</v>
      </c>
      <c r="G1142" s="9">
        <f t="shared" si="620"/>
        <v>112</v>
      </c>
      <c r="H1142" s="9">
        <f>H1143</f>
        <v>112</v>
      </c>
      <c r="I1142" s="9">
        <f t="shared" si="610"/>
        <v>100</v>
      </c>
      <c r="J1142" s="9">
        <f t="shared" si="616"/>
        <v>100</v>
      </c>
    </row>
    <row r="1143" spans="1:10">
      <c r="A1143" s="8" t="s">
        <v>82</v>
      </c>
      <c r="B1143" s="1" t="s">
        <v>984</v>
      </c>
      <c r="C1143" s="1" t="s">
        <v>83</v>
      </c>
      <c r="D1143" s="9">
        <f>ведомство!G2590</f>
        <v>112</v>
      </c>
      <c r="E1143" s="9">
        <f>ведомство!H2590</f>
        <v>112</v>
      </c>
      <c r="F1143" s="9">
        <f>ведомство!I2590</f>
        <v>112</v>
      </c>
      <c r="G1143" s="9">
        <f>ведомство!J2590</f>
        <v>112</v>
      </c>
      <c r="H1143" s="9">
        <f>ведомство!K2590</f>
        <v>112</v>
      </c>
      <c r="I1143" s="9">
        <f t="shared" si="610"/>
        <v>100</v>
      </c>
      <c r="J1143" s="9">
        <f t="shared" si="616"/>
        <v>100</v>
      </c>
    </row>
    <row r="1144" spans="1:10">
      <c r="A1144" s="8" t="s">
        <v>424</v>
      </c>
      <c r="B1144" s="1" t="s">
        <v>445</v>
      </c>
      <c r="C1144" s="1" t="s">
        <v>0</v>
      </c>
      <c r="D1144" s="9">
        <f>D1145</f>
        <v>750</v>
      </c>
      <c r="E1144" s="9">
        <f>E1145</f>
        <v>750</v>
      </c>
      <c r="F1144" s="9">
        <f t="shared" ref="F1144:G1145" si="621">F1145</f>
        <v>636.56299999999999</v>
      </c>
      <c r="G1144" s="9">
        <f t="shared" si="621"/>
        <v>636.56299999999999</v>
      </c>
      <c r="H1144" s="9">
        <f>H1145</f>
        <v>636.56299999999999</v>
      </c>
      <c r="I1144" s="9">
        <f t="shared" si="610"/>
        <v>84.875066666666669</v>
      </c>
      <c r="J1144" s="9">
        <f t="shared" si="616"/>
        <v>100</v>
      </c>
    </row>
    <row r="1145" spans="1:10" ht="25.5">
      <c r="A1145" s="8" t="s">
        <v>80</v>
      </c>
      <c r="B1145" s="1" t="s">
        <v>445</v>
      </c>
      <c r="C1145" s="1" t="s">
        <v>81</v>
      </c>
      <c r="D1145" s="9">
        <f>D1146</f>
        <v>750</v>
      </c>
      <c r="E1145" s="9">
        <f>E1146</f>
        <v>750</v>
      </c>
      <c r="F1145" s="9">
        <f t="shared" si="621"/>
        <v>636.56299999999999</v>
      </c>
      <c r="G1145" s="9">
        <f t="shared" si="621"/>
        <v>636.56299999999999</v>
      </c>
      <c r="H1145" s="9">
        <f>H1146</f>
        <v>636.56299999999999</v>
      </c>
      <c r="I1145" s="9">
        <f t="shared" si="610"/>
        <v>84.875066666666669</v>
      </c>
      <c r="J1145" s="9">
        <f t="shared" si="616"/>
        <v>100</v>
      </c>
    </row>
    <row r="1146" spans="1:10">
      <c r="A1146" s="8" t="s">
        <v>271</v>
      </c>
      <c r="B1146" s="1" t="s">
        <v>445</v>
      </c>
      <c r="C1146" s="1" t="s">
        <v>272</v>
      </c>
      <c r="D1146" s="9">
        <f>ведомство!G1177</f>
        <v>750</v>
      </c>
      <c r="E1146" s="9">
        <f>ведомство!H1177</f>
        <v>750</v>
      </c>
      <c r="F1146" s="9">
        <f>ведомство!I1177</f>
        <v>636.56299999999999</v>
      </c>
      <c r="G1146" s="9">
        <f>ведомство!J1177</f>
        <v>636.56299999999999</v>
      </c>
      <c r="H1146" s="9">
        <f>ведомство!K1177</f>
        <v>636.56299999999999</v>
      </c>
      <c r="I1146" s="9">
        <f t="shared" si="610"/>
        <v>84.875066666666669</v>
      </c>
      <c r="J1146" s="9">
        <f t="shared" si="616"/>
        <v>100</v>
      </c>
    </row>
    <row r="1147" spans="1:10" ht="25.5">
      <c r="A1147" s="8" t="s">
        <v>748</v>
      </c>
      <c r="B1147" s="1" t="s">
        <v>951</v>
      </c>
      <c r="C1147" s="1" t="s">
        <v>0</v>
      </c>
      <c r="D1147" s="9">
        <f>D1148</f>
        <v>300</v>
      </c>
      <c r="E1147" s="9">
        <f>E1148</f>
        <v>300</v>
      </c>
      <c r="F1147" s="9">
        <f t="shared" ref="F1147:G1148" si="622">F1148</f>
        <v>300</v>
      </c>
      <c r="G1147" s="9">
        <f t="shared" si="622"/>
        <v>300</v>
      </c>
      <c r="H1147" s="9">
        <f>H1148</f>
        <v>300</v>
      </c>
      <c r="I1147" s="9">
        <f t="shared" si="610"/>
        <v>100</v>
      </c>
      <c r="J1147" s="9">
        <f t="shared" si="616"/>
        <v>100</v>
      </c>
    </row>
    <row r="1148" spans="1:10" ht="25.5">
      <c r="A1148" s="8" t="s">
        <v>80</v>
      </c>
      <c r="B1148" s="1" t="s">
        <v>951</v>
      </c>
      <c r="C1148" s="1" t="s">
        <v>81</v>
      </c>
      <c r="D1148" s="9">
        <f>D1149</f>
        <v>300</v>
      </c>
      <c r="E1148" s="9">
        <f>E1149</f>
        <v>300</v>
      </c>
      <c r="F1148" s="9">
        <f t="shared" si="622"/>
        <v>300</v>
      </c>
      <c r="G1148" s="9">
        <f t="shared" si="622"/>
        <v>300</v>
      </c>
      <c r="H1148" s="9">
        <f>H1149</f>
        <v>300</v>
      </c>
      <c r="I1148" s="9">
        <f t="shared" si="610"/>
        <v>100</v>
      </c>
      <c r="J1148" s="9">
        <f t="shared" si="616"/>
        <v>100</v>
      </c>
    </row>
    <row r="1149" spans="1:10">
      <c r="A1149" s="8" t="s">
        <v>82</v>
      </c>
      <c r="B1149" s="1" t="s">
        <v>951</v>
      </c>
      <c r="C1149" s="1" t="s">
        <v>83</v>
      </c>
      <c r="D1149" s="9">
        <f>ведомство!G2486</f>
        <v>300</v>
      </c>
      <c r="E1149" s="9">
        <f>ведомство!H2486</f>
        <v>300</v>
      </c>
      <c r="F1149" s="9">
        <f>ведомство!I2486</f>
        <v>300</v>
      </c>
      <c r="G1149" s="9">
        <f>ведомство!J2486</f>
        <v>300</v>
      </c>
      <c r="H1149" s="9">
        <f>ведомство!K2486</f>
        <v>300</v>
      </c>
      <c r="I1149" s="9">
        <f t="shared" si="610"/>
        <v>100</v>
      </c>
      <c r="J1149" s="9">
        <f t="shared" si="616"/>
        <v>100</v>
      </c>
    </row>
    <row r="1150" spans="1:10">
      <c r="A1150" s="4" t="s">
        <v>0</v>
      </c>
      <c r="B1150" s="17" t="s">
        <v>0</v>
      </c>
      <c r="C1150" s="5" t="s">
        <v>0</v>
      </c>
      <c r="D1150" s="7" t="s">
        <v>0</v>
      </c>
      <c r="E1150" s="7" t="s">
        <v>0</v>
      </c>
      <c r="F1150" s="7" t="s">
        <v>0</v>
      </c>
      <c r="G1150" s="7" t="s">
        <v>0</v>
      </c>
      <c r="H1150" s="7" t="s">
        <v>0</v>
      </c>
      <c r="I1150" s="7"/>
      <c r="J1150" s="7"/>
    </row>
    <row r="1151" spans="1:10" ht="25.5">
      <c r="A1151" s="4" t="s">
        <v>88</v>
      </c>
      <c r="B1151" s="5" t="s">
        <v>89</v>
      </c>
      <c r="C1151" s="5" t="s">
        <v>0</v>
      </c>
      <c r="D1151" s="7">
        <f>D1152+D1155+D1158+D1161+D1164</f>
        <v>5966.5</v>
      </c>
      <c r="E1151" s="7">
        <f>E1152+E1155+E1158+E1161+E1164</f>
        <v>5966.5439999999999</v>
      </c>
      <c r="F1151" s="7">
        <f t="shared" ref="F1151:G1151" si="623">F1152+F1155+F1158+F1161+F1164</f>
        <v>1562.63</v>
      </c>
      <c r="G1151" s="7">
        <f t="shared" si="623"/>
        <v>1537.3209200000001</v>
      </c>
      <c r="H1151" s="7">
        <f>H1152+H1155+H1158+H1161+H1164</f>
        <v>1325.8554200000001</v>
      </c>
      <c r="I1151" s="7">
        <f t="shared" si="610"/>
        <v>22.221497402851636</v>
      </c>
      <c r="J1151" s="7">
        <f t="shared" si="616"/>
        <v>84.847687552395641</v>
      </c>
    </row>
    <row r="1152" spans="1:10" ht="25.5">
      <c r="A1152" s="8" t="s">
        <v>76</v>
      </c>
      <c r="B1152" s="1" t="s">
        <v>90</v>
      </c>
      <c r="C1152" s="1" t="s">
        <v>0</v>
      </c>
      <c r="D1152" s="9">
        <f>D1153</f>
        <v>483.5</v>
      </c>
      <c r="E1152" s="9">
        <f>E1153</f>
        <v>483.54399999999998</v>
      </c>
      <c r="F1152" s="9">
        <f t="shared" ref="F1152:G1153" si="624">F1153</f>
        <v>383.54399999999998</v>
      </c>
      <c r="G1152" s="9">
        <f t="shared" si="624"/>
        <v>358.23491999999999</v>
      </c>
      <c r="H1152" s="9">
        <f>H1153</f>
        <v>358.23491999999999</v>
      </c>
      <c r="I1152" s="9">
        <f t="shared" si="610"/>
        <v>74.085278692321694</v>
      </c>
      <c r="J1152" s="9">
        <f t="shared" si="616"/>
        <v>93.401257743570483</v>
      </c>
    </row>
    <row r="1153" spans="1:10" ht="25.5">
      <c r="A1153" s="8" t="s">
        <v>64</v>
      </c>
      <c r="B1153" s="1" t="s">
        <v>90</v>
      </c>
      <c r="C1153" s="1" t="s">
        <v>65</v>
      </c>
      <c r="D1153" s="9">
        <f>D1154</f>
        <v>483.5</v>
      </c>
      <c r="E1153" s="9">
        <f>E1154</f>
        <v>483.54399999999998</v>
      </c>
      <c r="F1153" s="9">
        <f t="shared" si="624"/>
        <v>383.54399999999998</v>
      </c>
      <c r="G1153" s="9">
        <f t="shared" si="624"/>
        <v>358.23491999999999</v>
      </c>
      <c r="H1153" s="9">
        <f>H1154</f>
        <v>358.23491999999999</v>
      </c>
      <c r="I1153" s="9">
        <f t="shared" si="610"/>
        <v>74.085278692321694</v>
      </c>
      <c r="J1153" s="9">
        <f t="shared" si="616"/>
        <v>93.401257743570483</v>
      </c>
    </row>
    <row r="1154" spans="1:10" ht="25.5">
      <c r="A1154" s="8" t="s">
        <v>66</v>
      </c>
      <c r="B1154" s="1" t="s">
        <v>90</v>
      </c>
      <c r="C1154" s="1" t="s">
        <v>67</v>
      </c>
      <c r="D1154" s="9">
        <f>ведомство!G74</f>
        <v>483.5</v>
      </c>
      <c r="E1154" s="9">
        <f>ведомство!H74</f>
        <v>483.54399999999998</v>
      </c>
      <c r="F1154" s="9">
        <f>ведомство!I74</f>
        <v>383.54399999999998</v>
      </c>
      <c r="G1154" s="9">
        <f>ведомство!J74</f>
        <v>358.23491999999999</v>
      </c>
      <c r="H1154" s="9">
        <f>ведомство!K74</f>
        <v>358.23491999999999</v>
      </c>
      <c r="I1154" s="9">
        <f t="shared" si="610"/>
        <v>74.085278692321694</v>
      </c>
      <c r="J1154" s="9">
        <f t="shared" si="616"/>
        <v>93.401257743570483</v>
      </c>
    </row>
    <row r="1155" spans="1:10" ht="38.25">
      <c r="A1155" s="8" t="s">
        <v>37</v>
      </c>
      <c r="B1155" s="1" t="s">
        <v>91</v>
      </c>
      <c r="C1155" s="1" t="s">
        <v>0</v>
      </c>
      <c r="D1155" s="9">
        <f>D1156</f>
        <v>3800</v>
      </c>
      <c r="E1155" s="9">
        <f>E1156</f>
        <v>3800</v>
      </c>
      <c r="F1155" s="9">
        <f t="shared" ref="F1155:G1156" si="625">F1156</f>
        <v>9.0860000000000003</v>
      </c>
      <c r="G1155" s="9">
        <f t="shared" si="625"/>
        <v>9.0860000000000003</v>
      </c>
      <c r="H1155" s="9">
        <f>H1156</f>
        <v>9.0860000000000003</v>
      </c>
      <c r="I1155" s="9">
        <f t="shared" si="610"/>
        <v>0.23910526315789474</v>
      </c>
      <c r="J1155" s="9">
        <f t="shared" si="616"/>
        <v>100</v>
      </c>
    </row>
    <row r="1156" spans="1:10" ht="25.5">
      <c r="A1156" s="8" t="s">
        <v>39</v>
      </c>
      <c r="B1156" s="1" t="s">
        <v>91</v>
      </c>
      <c r="C1156" s="1" t="s">
        <v>40</v>
      </c>
      <c r="D1156" s="9">
        <f>D1157</f>
        <v>3800</v>
      </c>
      <c r="E1156" s="9">
        <f>E1157</f>
        <v>3800</v>
      </c>
      <c r="F1156" s="9">
        <f t="shared" si="625"/>
        <v>9.0860000000000003</v>
      </c>
      <c r="G1156" s="9">
        <f t="shared" si="625"/>
        <v>9.0860000000000003</v>
      </c>
      <c r="H1156" s="9">
        <f>H1157</f>
        <v>9.0860000000000003</v>
      </c>
      <c r="I1156" s="9">
        <f t="shared" si="610"/>
        <v>0.23910526315789474</v>
      </c>
      <c r="J1156" s="9">
        <f t="shared" si="616"/>
        <v>100</v>
      </c>
    </row>
    <row r="1157" spans="1:10">
      <c r="A1157" s="8" t="s">
        <v>41</v>
      </c>
      <c r="B1157" s="1" t="s">
        <v>91</v>
      </c>
      <c r="C1157" s="1" t="s">
        <v>42</v>
      </c>
      <c r="D1157" s="9">
        <f>ведомство!G77</f>
        <v>3800</v>
      </c>
      <c r="E1157" s="9">
        <f>ведомство!H77</f>
        <v>3800</v>
      </c>
      <c r="F1157" s="9">
        <f>ведомство!I77</f>
        <v>9.0860000000000003</v>
      </c>
      <c r="G1157" s="9">
        <f>ведомство!J77</f>
        <v>9.0860000000000003</v>
      </c>
      <c r="H1157" s="9">
        <f>ведомство!K77</f>
        <v>9.0860000000000003</v>
      </c>
      <c r="I1157" s="9">
        <f t="shared" si="610"/>
        <v>0.23910526315789474</v>
      </c>
      <c r="J1157" s="9">
        <f t="shared" si="616"/>
        <v>100</v>
      </c>
    </row>
    <row r="1158" spans="1:10">
      <c r="A1158" s="8" t="s">
        <v>424</v>
      </c>
      <c r="B1158" s="1" t="s">
        <v>446</v>
      </c>
      <c r="C1158" s="1" t="s">
        <v>0</v>
      </c>
      <c r="D1158" s="9">
        <f>D1159</f>
        <v>150</v>
      </c>
      <c r="E1158" s="9">
        <f>E1159</f>
        <v>150</v>
      </c>
      <c r="F1158" s="9">
        <f t="shared" ref="F1158:G1159" si="626">F1159</f>
        <v>150</v>
      </c>
      <c r="G1158" s="9">
        <f t="shared" si="626"/>
        <v>150</v>
      </c>
      <c r="H1158" s="9">
        <f>H1159</f>
        <v>150</v>
      </c>
      <c r="I1158" s="9">
        <f t="shared" si="610"/>
        <v>100</v>
      </c>
      <c r="J1158" s="9">
        <f t="shared" si="616"/>
        <v>100</v>
      </c>
    </row>
    <row r="1159" spans="1:10" ht="25.5">
      <c r="A1159" s="8" t="s">
        <v>80</v>
      </c>
      <c r="B1159" s="1" t="s">
        <v>446</v>
      </c>
      <c r="C1159" s="1" t="s">
        <v>81</v>
      </c>
      <c r="D1159" s="9">
        <f>D1160</f>
        <v>150</v>
      </c>
      <c r="E1159" s="9">
        <f>E1160</f>
        <v>150</v>
      </c>
      <c r="F1159" s="9">
        <f t="shared" si="626"/>
        <v>150</v>
      </c>
      <c r="G1159" s="9">
        <f t="shared" si="626"/>
        <v>150</v>
      </c>
      <c r="H1159" s="9">
        <f>H1160</f>
        <v>150</v>
      </c>
      <c r="I1159" s="9">
        <f t="shared" si="610"/>
        <v>100</v>
      </c>
      <c r="J1159" s="9">
        <f t="shared" si="616"/>
        <v>100</v>
      </c>
    </row>
    <row r="1160" spans="1:10">
      <c r="A1160" s="8" t="s">
        <v>271</v>
      </c>
      <c r="B1160" s="1" t="s">
        <v>446</v>
      </c>
      <c r="C1160" s="1" t="s">
        <v>272</v>
      </c>
      <c r="D1160" s="9">
        <f>ведомство!G1181</f>
        <v>150</v>
      </c>
      <c r="E1160" s="9">
        <f>ведомство!H1181</f>
        <v>150</v>
      </c>
      <c r="F1160" s="9">
        <f>ведомство!I1181</f>
        <v>150</v>
      </c>
      <c r="G1160" s="9">
        <f>ведомство!J1181</f>
        <v>150</v>
      </c>
      <c r="H1160" s="9">
        <f>ведомство!K1181</f>
        <v>150</v>
      </c>
      <c r="I1160" s="9">
        <f t="shared" si="610"/>
        <v>100</v>
      </c>
      <c r="J1160" s="9">
        <f t="shared" si="616"/>
        <v>100</v>
      </c>
    </row>
    <row r="1161" spans="1:10">
      <c r="A1161" s="8" t="s">
        <v>1074</v>
      </c>
      <c r="B1161" s="1" t="s">
        <v>1076</v>
      </c>
      <c r="C1161" s="1" t="s">
        <v>0</v>
      </c>
      <c r="D1161" s="9">
        <f>D1162</f>
        <v>1233</v>
      </c>
      <c r="E1161" s="9">
        <f>E1162</f>
        <v>1233</v>
      </c>
      <c r="F1161" s="9">
        <f t="shared" ref="F1161:G1162" si="627">F1162</f>
        <v>720</v>
      </c>
      <c r="G1161" s="9">
        <f t="shared" si="627"/>
        <v>720</v>
      </c>
      <c r="H1161" s="9">
        <f>H1162</f>
        <v>508.61250000000001</v>
      </c>
      <c r="I1161" s="9">
        <f t="shared" si="610"/>
        <v>41.25</v>
      </c>
      <c r="J1161" s="9">
        <f t="shared" si="616"/>
        <v>70.640625</v>
      </c>
    </row>
    <row r="1162" spans="1:10" ht="25.5">
      <c r="A1162" s="8" t="s">
        <v>64</v>
      </c>
      <c r="B1162" s="1" t="s">
        <v>1076</v>
      </c>
      <c r="C1162" s="1" t="s">
        <v>65</v>
      </c>
      <c r="D1162" s="9">
        <f>D1163</f>
        <v>1233</v>
      </c>
      <c r="E1162" s="9">
        <f>E1163</f>
        <v>1233</v>
      </c>
      <c r="F1162" s="9">
        <f t="shared" si="627"/>
        <v>720</v>
      </c>
      <c r="G1162" s="9">
        <f t="shared" si="627"/>
        <v>720</v>
      </c>
      <c r="H1162" s="9">
        <f>H1163</f>
        <v>508.61250000000001</v>
      </c>
      <c r="I1162" s="9">
        <f t="shared" si="610"/>
        <v>41.25</v>
      </c>
      <c r="J1162" s="9">
        <f t="shared" si="616"/>
        <v>70.640625</v>
      </c>
    </row>
    <row r="1163" spans="1:10" ht="25.5">
      <c r="A1163" s="8" t="s">
        <v>66</v>
      </c>
      <c r="B1163" s="1" t="s">
        <v>1076</v>
      </c>
      <c r="C1163" s="1" t="s">
        <v>67</v>
      </c>
      <c r="D1163" s="9">
        <f>ведомство!G2853</f>
        <v>1233</v>
      </c>
      <c r="E1163" s="9">
        <f>ведомство!H2853</f>
        <v>1233</v>
      </c>
      <c r="F1163" s="9">
        <f>ведомство!I2853</f>
        <v>720</v>
      </c>
      <c r="G1163" s="9">
        <f>ведомство!J2853</f>
        <v>720</v>
      </c>
      <c r="H1163" s="9">
        <f>ведомство!K2853</f>
        <v>508.61250000000001</v>
      </c>
      <c r="I1163" s="9">
        <f t="shared" si="610"/>
        <v>41.25</v>
      </c>
      <c r="J1163" s="9">
        <f t="shared" si="616"/>
        <v>70.640625</v>
      </c>
    </row>
    <row r="1164" spans="1:10" ht="25.5">
      <c r="A1164" s="8" t="s">
        <v>266</v>
      </c>
      <c r="B1164" s="1" t="s">
        <v>267</v>
      </c>
      <c r="C1164" s="1" t="s">
        <v>0</v>
      </c>
      <c r="D1164" s="9">
        <f>D1165</f>
        <v>300</v>
      </c>
      <c r="E1164" s="9">
        <f>E1165</f>
        <v>300</v>
      </c>
      <c r="F1164" s="9">
        <f t="shared" ref="F1164:G1165" si="628">F1165</f>
        <v>300</v>
      </c>
      <c r="G1164" s="9">
        <f t="shared" si="628"/>
        <v>300</v>
      </c>
      <c r="H1164" s="9">
        <f>H1165</f>
        <v>299.92200000000003</v>
      </c>
      <c r="I1164" s="9">
        <f t="shared" si="610"/>
        <v>99.974000000000004</v>
      </c>
      <c r="J1164" s="9">
        <f t="shared" si="616"/>
        <v>99.974000000000004</v>
      </c>
    </row>
    <row r="1165" spans="1:10">
      <c r="A1165" s="8" t="s">
        <v>68</v>
      </c>
      <c r="B1165" s="1" t="s">
        <v>267</v>
      </c>
      <c r="C1165" s="1" t="s">
        <v>69</v>
      </c>
      <c r="D1165" s="9">
        <f>D1166</f>
        <v>300</v>
      </c>
      <c r="E1165" s="9">
        <f>E1166</f>
        <v>300</v>
      </c>
      <c r="F1165" s="9">
        <f t="shared" si="628"/>
        <v>300</v>
      </c>
      <c r="G1165" s="9">
        <f t="shared" si="628"/>
        <v>300</v>
      </c>
      <c r="H1165" s="9">
        <f>H1166</f>
        <v>299.92200000000003</v>
      </c>
      <c r="I1165" s="9">
        <f t="shared" si="610"/>
        <v>99.974000000000004</v>
      </c>
      <c r="J1165" s="9">
        <f t="shared" si="616"/>
        <v>99.974000000000004</v>
      </c>
    </row>
    <row r="1166" spans="1:10">
      <c r="A1166" s="8" t="s">
        <v>70</v>
      </c>
      <c r="B1166" s="1" t="s">
        <v>267</v>
      </c>
      <c r="C1166" s="1" t="s">
        <v>71</v>
      </c>
      <c r="D1166" s="9">
        <f>ведомство!G468</f>
        <v>300</v>
      </c>
      <c r="E1166" s="9">
        <f>ведомство!H468</f>
        <v>300</v>
      </c>
      <c r="F1166" s="9">
        <f>ведомство!I468</f>
        <v>300</v>
      </c>
      <c r="G1166" s="9">
        <f>ведомство!J468</f>
        <v>300</v>
      </c>
      <c r="H1166" s="9">
        <f>ведомство!K468</f>
        <v>299.92200000000003</v>
      </c>
      <c r="I1166" s="9">
        <f t="shared" si="610"/>
        <v>99.974000000000004</v>
      </c>
      <c r="J1166" s="9">
        <f t="shared" si="616"/>
        <v>99.974000000000004</v>
      </c>
    </row>
    <row r="1167" spans="1:10">
      <c r="A1167" s="4" t="s">
        <v>0</v>
      </c>
      <c r="B1167" s="17" t="s">
        <v>0</v>
      </c>
      <c r="C1167" s="5" t="s">
        <v>0</v>
      </c>
      <c r="D1167" s="7" t="s">
        <v>0</v>
      </c>
      <c r="E1167" s="7" t="s">
        <v>0</v>
      </c>
      <c r="F1167" s="7" t="s">
        <v>0</v>
      </c>
      <c r="G1167" s="7" t="s">
        <v>0</v>
      </c>
      <c r="H1167" s="7" t="s">
        <v>0</v>
      </c>
      <c r="I1167" s="7"/>
      <c r="J1167" s="7"/>
    </row>
    <row r="1168" spans="1:10" ht="25.5">
      <c r="A1168" s="4" t="s">
        <v>447</v>
      </c>
      <c r="B1168" s="5" t="s">
        <v>448</v>
      </c>
      <c r="C1168" s="5" t="s">
        <v>0</v>
      </c>
      <c r="D1168" s="7">
        <f t="shared" ref="D1168:H1170" si="629">D1169</f>
        <v>2500</v>
      </c>
      <c r="E1168" s="7">
        <f t="shared" si="629"/>
        <v>2500</v>
      </c>
      <c r="F1168" s="7">
        <f t="shared" si="629"/>
        <v>619.95000000000005</v>
      </c>
      <c r="G1168" s="7">
        <f t="shared" si="629"/>
        <v>619.95000000000005</v>
      </c>
      <c r="H1168" s="7">
        <f t="shared" si="629"/>
        <v>619.95000000000005</v>
      </c>
      <c r="I1168" s="7">
        <f t="shared" si="610"/>
        <v>24.798000000000002</v>
      </c>
      <c r="J1168" s="7">
        <f t="shared" si="616"/>
        <v>100</v>
      </c>
    </row>
    <row r="1169" spans="1:10" ht="25.5">
      <c r="A1169" s="8" t="s">
        <v>76</v>
      </c>
      <c r="B1169" s="1" t="s">
        <v>449</v>
      </c>
      <c r="C1169" s="1" t="s">
        <v>0</v>
      </c>
      <c r="D1169" s="9">
        <f t="shared" si="629"/>
        <v>2500</v>
      </c>
      <c r="E1169" s="9">
        <f t="shared" si="629"/>
        <v>2500</v>
      </c>
      <c r="F1169" s="9">
        <f t="shared" si="629"/>
        <v>619.95000000000005</v>
      </c>
      <c r="G1169" s="9">
        <f t="shared" si="629"/>
        <v>619.95000000000005</v>
      </c>
      <c r="H1169" s="9">
        <f t="shared" si="629"/>
        <v>619.95000000000005</v>
      </c>
      <c r="I1169" s="9">
        <f t="shared" si="610"/>
        <v>24.798000000000002</v>
      </c>
      <c r="J1169" s="9">
        <f t="shared" si="616"/>
        <v>100</v>
      </c>
    </row>
    <row r="1170" spans="1:10" ht="25.5">
      <c r="A1170" s="8" t="s">
        <v>80</v>
      </c>
      <c r="B1170" s="1" t="s">
        <v>449</v>
      </c>
      <c r="C1170" s="1" t="s">
        <v>81</v>
      </c>
      <c r="D1170" s="9">
        <f t="shared" si="629"/>
        <v>2500</v>
      </c>
      <c r="E1170" s="9">
        <f t="shared" si="629"/>
        <v>2500</v>
      </c>
      <c r="F1170" s="9">
        <f t="shared" si="629"/>
        <v>619.95000000000005</v>
      </c>
      <c r="G1170" s="9">
        <f t="shared" si="629"/>
        <v>619.95000000000005</v>
      </c>
      <c r="H1170" s="9">
        <f t="shared" si="629"/>
        <v>619.95000000000005</v>
      </c>
      <c r="I1170" s="9">
        <f t="shared" si="610"/>
        <v>24.798000000000002</v>
      </c>
      <c r="J1170" s="9">
        <f t="shared" si="616"/>
        <v>100</v>
      </c>
    </row>
    <row r="1171" spans="1:10">
      <c r="A1171" s="8" t="s">
        <v>271</v>
      </c>
      <c r="B1171" s="1" t="s">
        <v>449</v>
      </c>
      <c r="C1171" s="1" t="s">
        <v>272</v>
      </c>
      <c r="D1171" s="9">
        <f>ведомство!G1185</f>
        <v>2500</v>
      </c>
      <c r="E1171" s="9">
        <f>ведомство!H1185</f>
        <v>2500</v>
      </c>
      <c r="F1171" s="9">
        <f>ведомство!I1185</f>
        <v>619.95000000000005</v>
      </c>
      <c r="G1171" s="9">
        <f>ведомство!J1185</f>
        <v>619.95000000000005</v>
      </c>
      <c r="H1171" s="9">
        <f>ведомство!K1185</f>
        <v>619.95000000000005</v>
      </c>
      <c r="I1171" s="9">
        <f t="shared" si="610"/>
        <v>24.798000000000002</v>
      </c>
      <c r="J1171" s="9">
        <f t="shared" si="616"/>
        <v>100</v>
      </c>
    </row>
    <row r="1172" spans="1:10">
      <c r="A1172" s="4" t="s">
        <v>0</v>
      </c>
      <c r="B1172" s="17" t="s">
        <v>0</v>
      </c>
      <c r="C1172" s="5" t="s">
        <v>0</v>
      </c>
      <c r="D1172" s="7" t="s">
        <v>0</v>
      </c>
      <c r="E1172" s="7" t="s">
        <v>0</v>
      </c>
      <c r="F1172" s="7" t="s">
        <v>0</v>
      </c>
      <c r="G1172" s="7" t="s">
        <v>0</v>
      </c>
      <c r="H1172" s="7" t="s">
        <v>0</v>
      </c>
      <c r="I1172" s="7"/>
      <c r="J1172" s="7"/>
    </row>
    <row r="1173" spans="1:10" ht="51">
      <c r="A1173" s="34" t="s">
        <v>166</v>
      </c>
      <c r="B1173" s="5" t="s">
        <v>167</v>
      </c>
      <c r="C1173" s="5" t="s">
        <v>0</v>
      </c>
      <c r="D1173" s="7">
        <f>D1174+D1189+D1212+D1225</f>
        <v>1114590.7999999998</v>
      </c>
      <c r="E1173" s="7">
        <f>E1174+E1189+E1212+E1225</f>
        <v>1114590.8481999999</v>
      </c>
      <c r="F1173" s="7">
        <f t="shared" ref="F1173:G1173" si="630">F1174+F1189+F1212+F1225</f>
        <v>820315.31989000016</v>
      </c>
      <c r="G1173" s="7">
        <f t="shared" si="630"/>
        <v>800517.71989000018</v>
      </c>
      <c r="H1173" s="7">
        <f>H1174+H1189+H1212+H1225</f>
        <v>796088.30064000003</v>
      </c>
      <c r="I1173" s="7">
        <f t="shared" si="610"/>
        <v>71.424263165773965</v>
      </c>
      <c r="J1173" s="7">
        <f t="shared" si="616"/>
        <v>97.046621139143312</v>
      </c>
    </row>
    <row r="1174" spans="1:10" ht="25.5">
      <c r="A1174" s="4" t="s">
        <v>915</v>
      </c>
      <c r="B1174" s="5" t="s">
        <v>916</v>
      </c>
      <c r="C1174" s="5" t="s">
        <v>0</v>
      </c>
      <c r="D1174" s="7">
        <f>D1175+D1185</f>
        <v>872709.79999999981</v>
      </c>
      <c r="E1174" s="7">
        <f>E1175+E1185</f>
        <v>872588.3931799999</v>
      </c>
      <c r="F1174" s="7">
        <f t="shared" ref="F1174:G1174" si="631">F1175+F1185</f>
        <v>646298.97547000006</v>
      </c>
      <c r="G1174" s="7">
        <f t="shared" si="631"/>
        <v>646298.97547000006</v>
      </c>
      <c r="H1174" s="7">
        <f>H1175+H1185</f>
        <v>643244.95007999998</v>
      </c>
      <c r="I1174" s="7">
        <f t="shared" si="610"/>
        <v>73.716881304804346</v>
      </c>
      <c r="J1174" s="7">
        <f t="shared" si="616"/>
        <v>99.527459348395354</v>
      </c>
    </row>
    <row r="1175" spans="1:10" ht="25.5">
      <c r="A1175" s="8" t="s">
        <v>76</v>
      </c>
      <c r="B1175" s="1" t="s">
        <v>917</v>
      </c>
      <c r="C1175" s="1" t="s">
        <v>0</v>
      </c>
      <c r="D1175" s="9">
        <f>D1176+D1178+D1180+D1182</f>
        <v>864692.29999999981</v>
      </c>
      <c r="E1175" s="9">
        <f>E1176+E1178+E1180+E1182</f>
        <v>864570.8931799999</v>
      </c>
      <c r="F1175" s="9">
        <f t="shared" ref="F1175:G1175" si="632">F1176+F1178+F1180+F1182</f>
        <v>639198.97547000006</v>
      </c>
      <c r="G1175" s="9">
        <f t="shared" si="632"/>
        <v>639198.97547000006</v>
      </c>
      <c r="H1175" s="9">
        <f>H1176+H1178+H1180+H1182</f>
        <v>636144.95007999998</v>
      </c>
      <c r="I1175" s="9">
        <f t="shared" si="610"/>
        <v>73.579269797087349</v>
      </c>
      <c r="J1175" s="9">
        <f t="shared" si="616"/>
        <v>99.522210531117565</v>
      </c>
    </row>
    <row r="1176" spans="1:10" ht="51">
      <c r="A1176" s="8" t="s">
        <v>60</v>
      </c>
      <c r="B1176" s="1" t="s">
        <v>917</v>
      </c>
      <c r="C1176" s="1" t="s">
        <v>61</v>
      </c>
      <c r="D1176" s="9">
        <f>D1177</f>
        <v>717545.7</v>
      </c>
      <c r="E1176" s="9">
        <f>E1177</f>
        <v>717424.27471000003</v>
      </c>
      <c r="F1176" s="9">
        <f t="shared" ref="F1176:G1176" si="633">F1177</f>
        <v>526971.78899999999</v>
      </c>
      <c r="G1176" s="9">
        <f t="shared" si="633"/>
        <v>526971.78899999999</v>
      </c>
      <c r="H1176" s="9">
        <f>H1177</f>
        <v>524033.43771999999</v>
      </c>
      <c r="I1176" s="9">
        <f t="shared" si="610"/>
        <v>73.043728264119139</v>
      </c>
      <c r="J1176" s="9">
        <f t="shared" si="616"/>
        <v>99.442408238669486</v>
      </c>
    </row>
    <row r="1177" spans="1:10">
      <c r="A1177" s="8" t="s">
        <v>78</v>
      </c>
      <c r="B1177" s="1" t="s">
        <v>917</v>
      </c>
      <c r="C1177" s="1" t="s">
        <v>79</v>
      </c>
      <c r="D1177" s="9">
        <f>ведомство!G2299</f>
        <v>717545.7</v>
      </c>
      <c r="E1177" s="9">
        <f>ведомство!H2299</f>
        <v>717424.27471000003</v>
      </c>
      <c r="F1177" s="9">
        <f>ведомство!I2299</f>
        <v>526971.78899999999</v>
      </c>
      <c r="G1177" s="9">
        <f>ведомство!J2299</f>
        <v>526971.78899999999</v>
      </c>
      <c r="H1177" s="9">
        <f>ведомство!K2299</f>
        <v>524033.43771999999</v>
      </c>
      <c r="I1177" s="9">
        <f t="shared" si="610"/>
        <v>73.043728264119139</v>
      </c>
      <c r="J1177" s="9">
        <f t="shared" si="616"/>
        <v>99.442408238669486</v>
      </c>
    </row>
    <row r="1178" spans="1:10" ht="25.5">
      <c r="A1178" s="8" t="s">
        <v>64</v>
      </c>
      <c r="B1178" s="1" t="s">
        <v>917</v>
      </c>
      <c r="C1178" s="1" t="s">
        <v>65</v>
      </c>
      <c r="D1178" s="9">
        <f>D1179</f>
        <v>62376.7</v>
      </c>
      <c r="E1178" s="9">
        <f>E1179</f>
        <v>62376.71847</v>
      </c>
      <c r="F1178" s="9">
        <f t="shared" ref="F1178:G1178" si="634">F1179</f>
        <v>43334.536469999999</v>
      </c>
      <c r="G1178" s="9">
        <f t="shared" si="634"/>
        <v>43334.536469999999</v>
      </c>
      <c r="H1178" s="9">
        <f>H1179</f>
        <v>43250.101000000002</v>
      </c>
      <c r="I1178" s="9">
        <f t="shared" si="610"/>
        <v>69.336929003088031</v>
      </c>
      <c r="J1178" s="9">
        <f t="shared" si="616"/>
        <v>99.805154325214829</v>
      </c>
    </row>
    <row r="1179" spans="1:10" ht="25.5">
      <c r="A1179" s="8" t="s">
        <v>66</v>
      </c>
      <c r="B1179" s="1" t="s">
        <v>917</v>
      </c>
      <c r="C1179" s="1" t="s">
        <v>67</v>
      </c>
      <c r="D1179" s="9">
        <f>ведомство!G2301</f>
        <v>62376.7</v>
      </c>
      <c r="E1179" s="9">
        <f>ведомство!H2301</f>
        <v>62376.71847</v>
      </c>
      <c r="F1179" s="9">
        <f>ведомство!I2301</f>
        <v>43334.536469999999</v>
      </c>
      <c r="G1179" s="9">
        <f>ведомство!J2301</f>
        <v>43334.536469999999</v>
      </c>
      <c r="H1179" s="9">
        <f>ведомство!K2301</f>
        <v>43250.101000000002</v>
      </c>
      <c r="I1179" s="9">
        <f t="shared" si="610"/>
        <v>69.336929003088031</v>
      </c>
      <c r="J1179" s="9">
        <f t="shared" si="616"/>
        <v>99.805154325214829</v>
      </c>
    </row>
    <row r="1180" spans="1:10" ht="25.5">
      <c r="A1180" s="8" t="s">
        <v>80</v>
      </c>
      <c r="B1180" s="1" t="s">
        <v>917</v>
      </c>
      <c r="C1180" s="1" t="s">
        <v>81</v>
      </c>
      <c r="D1180" s="9">
        <f>D1181</f>
        <v>78263.199999999997</v>
      </c>
      <c r="E1180" s="9">
        <f>E1181</f>
        <v>78263.199999999997</v>
      </c>
      <c r="F1180" s="9">
        <f t="shared" ref="F1180:G1180" si="635">F1181</f>
        <v>63620</v>
      </c>
      <c r="G1180" s="9">
        <f t="shared" si="635"/>
        <v>63620</v>
      </c>
      <c r="H1180" s="9">
        <f>H1181</f>
        <v>63620</v>
      </c>
      <c r="I1180" s="9">
        <f t="shared" si="610"/>
        <v>81.289801592574804</v>
      </c>
      <c r="J1180" s="9">
        <f t="shared" si="616"/>
        <v>100</v>
      </c>
    </row>
    <row r="1181" spans="1:10">
      <c r="A1181" s="8" t="s">
        <v>271</v>
      </c>
      <c r="B1181" s="1" t="s">
        <v>917</v>
      </c>
      <c r="C1181" s="1" t="s">
        <v>272</v>
      </c>
      <c r="D1181" s="9">
        <f>ведомство!G2303</f>
        <v>78263.199999999997</v>
      </c>
      <c r="E1181" s="9">
        <f>ведомство!H2303</f>
        <v>78263.199999999997</v>
      </c>
      <c r="F1181" s="9">
        <f>ведомство!I2303</f>
        <v>63620</v>
      </c>
      <c r="G1181" s="9">
        <f>ведомство!J2303</f>
        <v>63620</v>
      </c>
      <c r="H1181" s="9">
        <f>ведомство!K2303</f>
        <v>63620</v>
      </c>
      <c r="I1181" s="9">
        <f t="shared" si="610"/>
        <v>81.289801592574804</v>
      </c>
      <c r="J1181" s="9">
        <f t="shared" si="616"/>
        <v>100</v>
      </c>
    </row>
    <row r="1182" spans="1:10">
      <c r="A1182" s="8" t="s">
        <v>72</v>
      </c>
      <c r="B1182" s="1" t="s">
        <v>917</v>
      </c>
      <c r="C1182" s="1" t="s">
        <v>73</v>
      </c>
      <c r="D1182" s="9">
        <f>D1183+D1184</f>
        <v>6506.7</v>
      </c>
      <c r="E1182" s="9">
        <f>E1183+E1184</f>
        <v>6506.7</v>
      </c>
      <c r="F1182" s="9">
        <f t="shared" ref="F1182:G1182" si="636">F1183+F1184</f>
        <v>5272.6500000000005</v>
      </c>
      <c r="G1182" s="9">
        <f t="shared" si="636"/>
        <v>5272.6500000000005</v>
      </c>
      <c r="H1182" s="9">
        <f>H1183+H1184</f>
        <v>5241.4113600000001</v>
      </c>
      <c r="I1182" s="9">
        <f t="shared" si="610"/>
        <v>80.554065194338136</v>
      </c>
      <c r="J1182" s="9">
        <f t="shared" si="616"/>
        <v>99.407534351796528</v>
      </c>
    </row>
    <row r="1183" spans="1:10" s="42" customFormat="1">
      <c r="A1183" s="25" t="s">
        <v>84</v>
      </c>
      <c r="B1183" s="1" t="s">
        <v>917</v>
      </c>
      <c r="C1183" s="1">
        <v>830</v>
      </c>
      <c r="D1183" s="9">
        <f>ведомство!G2305</f>
        <v>0</v>
      </c>
      <c r="E1183" s="9">
        <f>ведомство!H2305</f>
        <v>14.808999999999999</v>
      </c>
      <c r="F1183" s="9">
        <f>ведомство!I2305</f>
        <v>14.808999999999999</v>
      </c>
      <c r="G1183" s="9">
        <f>ведомство!J2305</f>
        <v>14.808999999999999</v>
      </c>
      <c r="H1183" s="9">
        <f>ведомство!K2305</f>
        <v>14.808999999999999</v>
      </c>
      <c r="I1183" s="9">
        <f t="shared" ref="I1183" si="637">H1183/E1183*100</f>
        <v>100</v>
      </c>
      <c r="J1183" s="9">
        <f t="shared" ref="J1183" si="638">H1183/F1183*100</f>
        <v>100</v>
      </c>
    </row>
    <row r="1184" spans="1:10">
      <c r="A1184" s="8" t="s">
        <v>74</v>
      </c>
      <c r="B1184" s="1" t="s">
        <v>917</v>
      </c>
      <c r="C1184" s="1" t="s">
        <v>75</v>
      </c>
      <c r="D1184" s="9">
        <f>ведомство!G2306</f>
        <v>6506.7</v>
      </c>
      <c r="E1184" s="9">
        <f>ведомство!H2306</f>
        <v>6491.8909999999996</v>
      </c>
      <c r="F1184" s="9">
        <f>ведомство!I2306</f>
        <v>5257.8410000000003</v>
      </c>
      <c r="G1184" s="9">
        <f>ведомство!J2306</f>
        <v>5257.8410000000003</v>
      </c>
      <c r="H1184" s="9">
        <f>ведомство!K2306</f>
        <v>5226.6023599999999</v>
      </c>
      <c r="I1184" s="9">
        <f t="shared" si="610"/>
        <v>80.509706031724818</v>
      </c>
      <c r="J1184" s="9">
        <f t="shared" si="616"/>
        <v>99.405865639527704</v>
      </c>
    </row>
    <row r="1185" spans="1:10">
      <c r="A1185" s="8" t="s">
        <v>918</v>
      </c>
      <c r="B1185" s="1" t="s">
        <v>919</v>
      </c>
      <c r="C1185" s="1" t="s">
        <v>0</v>
      </c>
      <c r="D1185" s="9">
        <f>D1186</f>
        <v>8017.5</v>
      </c>
      <c r="E1185" s="9">
        <f>E1186</f>
        <v>8017.5</v>
      </c>
      <c r="F1185" s="9">
        <f t="shared" ref="F1185:G1186" si="639">F1186</f>
        <v>7100</v>
      </c>
      <c r="G1185" s="9">
        <f t="shared" si="639"/>
        <v>7100</v>
      </c>
      <c r="H1185" s="9">
        <f>H1186</f>
        <v>7100</v>
      </c>
      <c r="I1185" s="9">
        <f t="shared" si="610"/>
        <v>88.556283130651707</v>
      </c>
      <c r="J1185" s="9">
        <f t="shared" si="616"/>
        <v>100</v>
      </c>
    </row>
    <row r="1186" spans="1:10" ht="25.5">
      <c r="A1186" s="8" t="s">
        <v>80</v>
      </c>
      <c r="B1186" s="1" t="s">
        <v>919</v>
      </c>
      <c r="C1186" s="1" t="s">
        <v>81</v>
      </c>
      <c r="D1186" s="9">
        <f>D1187</f>
        <v>8017.5</v>
      </c>
      <c r="E1186" s="9">
        <f>E1187</f>
        <v>8017.5</v>
      </c>
      <c r="F1186" s="9">
        <f t="shared" si="639"/>
        <v>7100</v>
      </c>
      <c r="G1186" s="9">
        <f t="shared" si="639"/>
        <v>7100</v>
      </c>
      <c r="H1186" s="9">
        <f>H1187</f>
        <v>7100</v>
      </c>
      <c r="I1186" s="9">
        <f t="shared" si="610"/>
        <v>88.556283130651707</v>
      </c>
      <c r="J1186" s="9">
        <f t="shared" si="616"/>
        <v>100</v>
      </c>
    </row>
    <row r="1187" spans="1:10" ht="25.5">
      <c r="A1187" s="8" t="s">
        <v>195</v>
      </c>
      <c r="B1187" s="1" t="s">
        <v>919</v>
      </c>
      <c r="C1187" s="1" t="s">
        <v>196</v>
      </c>
      <c r="D1187" s="9">
        <f>ведомство!G2309</f>
        <v>8017.5</v>
      </c>
      <c r="E1187" s="9">
        <f>ведомство!H2309</f>
        <v>8017.5</v>
      </c>
      <c r="F1187" s="9">
        <f>ведомство!I2309</f>
        <v>7100</v>
      </c>
      <c r="G1187" s="9">
        <f>ведомство!J2309</f>
        <v>7100</v>
      </c>
      <c r="H1187" s="9">
        <f>ведомство!K2309</f>
        <v>7100</v>
      </c>
      <c r="I1187" s="9">
        <f t="shared" si="610"/>
        <v>88.556283130651707</v>
      </c>
      <c r="J1187" s="9">
        <f t="shared" si="616"/>
        <v>100</v>
      </c>
    </row>
    <row r="1188" spans="1:10">
      <c r="A1188" s="4" t="s">
        <v>0</v>
      </c>
      <c r="B1188" s="17" t="s">
        <v>0</v>
      </c>
      <c r="C1188" s="5" t="s">
        <v>0</v>
      </c>
      <c r="D1188" s="7" t="s">
        <v>0</v>
      </c>
      <c r="E1188" s="7" t="s">
        <v>0</v>
      </c>
      <c r="F1188" s="7" t="s">
        <v>0</v>
      </c>
      <c r="G1188" s="7" t="s">
        <v>0</v>
      </c>
      <c r="H1188" s="7" t="s">
        <v>0</v>
      </c>
      <c r="I1188" s="7"/>
      <c r="J1188" s="7"/>
    </row>
    <row r="1189" spans="1:10" ht="51">
      <c r="A1189" s="4" t="s">
        <v>168</v>
      </c>
      <c r="B1189" s="5" t="s">
        <v>169</v>
      </c>
      <c r="C1189" s="5" t="s">
        <v>0</v>
      </c>
      <c r="D1189" s="7">
        <f>D1190+D1201+D1204</f>
        <v>180658.1</v>
      </c>
      <c r="E1189" s="7">
        <f>E1190+E1201+E1204</f>
        <v>180658.12973000002</v>
      </c>
      <c r="F1189" s="7">
        <f t="shared" ref="F1189:G1189" si="640">F1190+F1201+F1204</f>
        <v>132513.09735</v>
      </c>
      <c r="G1189" s="7">
        <f t="shared" si="640"/>
        <v>132373.09735</v>
      </c>
      <c r="H1189" s="7">
        <f>H1190+H1201+H1204</f>
        <v>131621.21864000001</v>
      </c>
      <c r="I1189" s="7">
        <f t="shared" si="610"/>
        <v>72.856515694429362</v>
      </c>
      <c r="J1189" s="7">
        <f t="shared" si="616"/>
        <v>99.326950521996849</v>
      </c>
    </row>
    <row r="1190" spans="1:10" ht="25.5">
      <c r="A1190" s="8" t="s">
        <v>76</v>
      </c>
      <c r="B1190" s="1" t="s">
        <v>904</v>
      </c>
      <c r="C1190" s="1" t="s">
        <v>0</v>
      </c>
      <c r="D1190" s="9">
        <f>D1191+D1193+D1195+D1197+D1199</f>
        <v>166365.5</v>
      </c>
      <c r="E1190" s="9">
        <f>E1191+E1193+E1195+E1197+E1199</f>
        <v>166365.52973000001</v>
      </c>
      <c r="F1190" s="9">
        <f t="shared" ref="F1190:G1190" si="641">F1191+F1193+F1195+F1197+F1199</f>
        <v>121397.1</v>
      </c>
      <c r="G1190" s="9">
        <f t="shared" si="641"/>
        <v>121397.1</v>
      </c>
      <c r="H1190" s="9">
        <f>H1191+H1193+H1195+H1197+H1199</f>
        <v>120717.66301</v>
      </c>
      <c r="I1190" s="9">
        <f t="shared" si="610"/>
        <v>72.561703861320666</v>
      </c>
      <c r="J1190" s="9">
        <f t="shared" si="616"/>
        <v>99.440318599043962</v>
      </c>
    </row>
    <row r="1191" spans="1:10" ht="51">
      <c r="A1191" s="8" t="s">
        <v>60</v>
      </c>
      <c r="B1191" s="1" t="s">
        <v>904</v>
      </c>
      <c r="C1191" s="1" t="s">
        <v>61</v>
      </c>
      <c r="D1191" s="9">
        <f>D1192</f>
        <v>52438.9</v>
      </c>
      <c r="E1191" s="9">
        <f>E1192</f>
        <v>52438.9</v>
      </c>
      <c r="F1191" s="9">
        <f t="shared" ref="F1191:G1191" si="642">F1192</f>
        <v>39903.599999999999</v>
      </c>
      <c r="G1191" s="9">
        <f t="shared" si="642"/>
        <v>39903.599999999999</v>
      </c>
      <c r="H1191" s="9">
        <f>H1192</f>
        <v>39264.617109999999</v>
      </c>
      <c r="I1191" s="9">
        <f t="shared" si="610"/>
        <v>74.876889313086266</v>
      </c>
      <c r="J1191" s="9">
        <f t="shared" si="616"/>
        <v>98.398683602481981</v>
      </c>
    </row>
    <row r="1192" spans="1:10">
      <c r="A1192" s="8" t="s">
        <v>78</v>
      </c>
      <c r="B1192" s="1" t="s">
        <v>904</v>
      </c>
      <c r="C1192" s="1" t="s">
        <v>79</v>
      </c>
      <c r="D1192" s="9">
        <f>ведомство!G2258</f>
        <v>52438.9</v>
      </c>
      <c r="E1192" s="9">
        <f>ведомство!H2258</f>
        <v>52438.9</v>
      </c>
      <c r="F1192" s="9">
        <f>ведомство!I2258</f>
        <v>39903.599999999999</v>
      </c>
      <c r="G1192" s="9">
        <f>ведомство!J2258</f>
        <v>39903.599999999999</v>
      </c>
      <c r="H1192" s="9">
        <f>ведомство!K2258</f>
        <v>39264.617109999999</v>
      </c>
      <c r="I1192" s="9">
        <f t="shared" si="610"/>
        <v>74.876889313086266</v>
      </c>
      <c r="J1192" s="9">
        <f t="shared" si="616"/>
        <v>98.398683602481981</v>
      </c>
    </row>
    <row r="1193" spans="1:10" ht="25.5">
      <c r="A1193" s="8" t="s">
        <v>64</v>
      </c>
      <c r="B1193" s="1" t="s">
        <v>904</v>
      </c>
      <c r="C1193" s="1" t="s">
        <v>65</v>
      </c>
      <c r="D1193" s="9">
        <f>D1194</f>
        <v>23878.7</v>
      </c>
      <c r="E1193" s="9">
        <f>E1194</f>
        <v>23756.096730000001</v>
      </c>
      <c r="F1193" s="9">
        <f t="shared" ref="F1193:G1193" si="643">F1194</f>
        <v>12847.767</v>
      </c>
      <c r="G1193" s="9">
        <f t="shared" si="643"/>
        <v>12847.767</v>
      </c>
      <c r="H1193" s="9">
        <f>H1194</f>
        <v>12839.13097</v>
      </c>
      <c r="I1193" s="9">
        <f t="shared" ref="I1193:I1266" si="644">H1193/E1193*100</f>
        <v>54.045625070158565</v>
      </c>
      <c r="J1193" s="9">
        <f t="shared" ref="J1193:J1257" si="645">H1193/F1193*100</f>
        <v>99.932781860069539</v>
      </c>
    </row>
    <row r="1194" spans="1:10" ht="25.5">
      <c r="A1194" s="8" t="s">
        <v>66</v>
      </c>
      <c r="B1194" s="1" t="s">
        <v>904</v>
      </c>
      <c r="C1194" s="1" t="s">
        <v>67</v>
      </c>
      <c r="D1194" s="9">
        <f>ведомство!G2260</f>
        <v>23878.7</v>
      </c>
      <c r="E1194" s="9">
        <f>ведомство!H2260</f>
        <v>23756.096730000001</v>
      </c>
      <c r="F1194" s="9">
        <f>ведомство!I2260</f>
        <v>12847.767</v>
      </c>
      <c r="G1194" s="9">
        <f>ведомство!J2260</f>
        <v>12847.767</v>
      </c>
      <c r="H1194" s="9">
        <f>ведомство!K2260</f>
        <v>12839.13097</v>
      </c>
      <c r="I1194" s="9">
        <f t="shared" si="644"/>
        <v>54.045625070158565</v>
      </c>
      <c r="J1194" s="9">
        <f t="shared" si="645"/>
        <v>99.932781860069539</v>
      </c>
    </row>
    <row r="1195" spans="1:10" s="42" customFormat="1">
      <c r="A1195" s="8" t="s">
        <v>68</v>
      </c>
      <c r="B1195" s="1" t="s">
        <v>904</v>
      </c>
      <c r="C1195" s="1">
        <v>300</v>
      </c>
      <c r="D1195" s="9">
        <f>D1196</f>
        <v>0</v>
      </c>
      <c r="E1195" s="9">
        <f>E1196</f>
        <v>122.633</v>
      </c>
      <c r="F1195" s="9">
        <f t="shared" ref="F1195:G1195" si="646">F1196</f>
        <v>122.633</v>
      </c>
      <c r="G1195" s="9">
        <f t="shared" si="646"/>
        <v>122.633</v>
      </c>
      <c r="H1195" s="9">
        <f>H1196</f>
        <v>122.633</v>
      </c>
      <c r="I1195" s="9">
        <f t="shared" ref="I1195:I1196" si="647">H1195/E1195*100</f>
        <v>100</v>
      </c>
      <c r="J1195" s="9">
        <f t="shared" ref="J1195:J1196" si="648">H1195/F1195*100</f>
        <v>100</v>
      </c>
    </row>
    <row r="1196" spans="1:10" s="42" customFormat="1" ht="25.5">
      <c r="A1196" s="8" t="s">
        <v>151</v>
      </c>
      <c r="B1196" s="1" t="s">
        <v>904</v>
      </c>
      <c r="C1196" s="1">
        <v>320</v>
      </c>
      <c r="D1196" s="9">
        <f>ведомство!G2262</f>
        <v>0</v>
      </c>
      <c r="E1196" s="9">
        <f>ведомство!H2262</f>
        <v>122.633</v>
      </c>
      <c r="F1196" s="9">
        <f>ведомство!I2262</f>
        <v>122.633</v>
      </c>
      <c r="G1196" s="9">
        <f>ведомство!J2262</f>
        <v>122.633</v>
      </c>
      <c r="H1196" s="9">
        <f>ведомство!K2262</f>
        <v>122.633</v>
      </c>
      <c r="I1196" s="9">
        <f t="shared" si="647"/>
        <v>100</v>
      </c>
      <c r="J1196" s="9">
        <f t="shared" si="648"/>
        <v>100</v>
      </c>
    </row>
    <row r="1197" spans="1:10" ht="25.5">
      <c r="A1197" s="8" t="s">
        <v>80</v>
      </c>
      <c r="B1197" s="1" t="s">
        <v>904</v>
      </c>
      <c r="C1197" s="1" t="s">
        <v>81</v>
      </c>
      <c r="D1197" s="9">
        <f>D1198</f>
        <v>88373.6</v>
      </c>
      <c r="E1197" s="9">
        <f>E1198</f>
        <v>88373.6</v>
      </c>
      <c r="F1197" s="9">
        <f t="shared" ref="F1197:G1197" si="649">F1198</f>
        <v>67267.3</v>
      </c>
      <c r="G1197" s="9">
        <f t="shared" si="649"/>
        <v>67267.3</v>
      </c>
      <c r="H1197" s="9">
        <f>H1198</f>
        <v>67267.3</v>
      </c>
      <c r="I1197" s="9">
        <f t="shared" si="644"/>
        <v>76.11696253179683</v>
      </c>
      <c r="J1197" s="9">
        <f t="shared" si="645"/>
        <v>100</v>
      </c>
    </row>
    <row r="1198" spans="1:10">
      <c r="A1198" s="8" t="s">
        <v>271</v>
      </c>
      <c r="B1198" s="1" t="s">
        <v>904</v>
      </c>
      <c r="C1198" s="1" t="s">
        <v>272</v>
      </c>
      <c r="D1198" s="9">
        <f>ведомство!G2264+ведомство!G2323</f>
        <v>88373.6</v>
      </c>
      <c r="E1198" s="9">
        <f>ведомство!H2264+ведомство!H2323</f>
        <v>88373.6</v>
      </c>
      <c r="F1198" s="9">
        <f>ведомство!I2264+ведомство!I2323</f>
        <v>67267.3</v>
      </c>
      <c r="G1198" s="9">
        <f>ведомство!J2264+ведомство!J2323</f>
        <v>67267.3</v>
      </c>
      <c r="H1198" s="9">
        <f>ведомство!K2264+ведомство!K2323</f>
        <v>67267.3</v>
      </c>
      <c r="I1198" s="9">
        <f t="shared" si="644"/>
        <v>76.11696253179683</v>
      </c>
      <c r="J1198" s="9">
        <f t="shared" si="645"/>
        <v>100</v>
      </c>
    </row>
    <row r="1199" spans="1:10">
      <c r="A1199" s="8" t="s">
        <v>72</v>
      </c>
      <c r="B1199" s="1" t="s">
        <v>904</v>
      </c>
      <c r="C1199" s="1" t="s">
        <v>73</v>
      </c>
      <c r="D1199" s="9">
        <f>D1200</f>
        <v>1674.3</v>
      </c>
      <c r="E1199" s="9">
        <f>E1200</f>
        <v>1674.3000000000002</v>
      </c>
      <c r="F1199" s="9">
        <f t="shared" ref="F1199:G1199" si="650">F1200</f>
        <v>1255.8</v>
      </c>
      <c r="G1199" s="9">
        <f t="shared" si="650"/>
        <v>1255.8</v>
      </c>
      <c r="H1199" s="9">
        <f>H1200</f>
        <v>1223.9819299999999</v>
      </c>
      <c r="I1199" s="9">
        <f t="shared" si="644"/>
        <v>73.104099026458798</v>
      </c>
      <c r="J1199" s="9">
        <f t="shared" si="645"/>
        <v>97.466310718267238</v>
      </c>
    </row>
    <row r="1200" spans="1:10">
      <c r="A1200" s="8" t="s">
        <v>74</v>
      </c>
      <c r="B1200" s="1" t="s">
        <v>904</v>
      </c>
      <c r="C1200" s="1" t="s">
        <v>75</v>
      </c>
      <c r="D1200" s="9">
        <f>ведомство!G2266</f>
        <v>1674.3</v>
      </c>
      <c r="E1200" s="9">
        <f>ведомство!H2266</f>
        <v>1674.3000000000002</v>
      </c>
      <c r="F1200" s="9">
        <f>ведомство!I2266</f>
        <v>1255.8</v>
      </c>
      <c r="G1200" s="9">
        <f>ведомство!J2266</f>
        <v>1255.8</v>
      </c>
      <c r="H1200" s="9">
        <f>ведомство!K2266</f>
        <v>1223.9819299999999</v>
      </c>
      <c r="I1200" s="9">
        <f t="shared" si="644"/>
        <v>73.104099026458798</v>
      </c>
      <c r="J1200" s="9">
        <f t="shared" si="645"/>
        <v>97.466310718267238</v>
      </c>
    </row>
    <row r="1201" spans="1:10" ht="38.25">
      <c r="A1201" s="8" t="s">
        <v>170</v>
      </c>
      <c r="B1201" s="1" t="s">
        <v>171</v>
      </c>
      <c r="C1201" s="1" t="s">
        <v>0</v>
      </c>
      <c r="D1201" s="9">
        <f>D1202</f>
        <v>292.60000000000002</v>
      </c>
      <c r="E1201" s="9">
        <f>E1202</f>
        <v>292.60000000000002</v>
      </c>
      <c r="F1201" s="9">
        <f t="shared" ref="F1201:G1202" si="651">F1202</f>
        <v>132.59735000000001</v>
      </c>
      <c r="G1201" s="9">
        <f t="shared" si="651"/>
        <v>132.59735000000001</v>
      </c>
      <c r="H1201" s="9">
        <f>H1202</f>
        <v>106.37468</v>
      </c>
      <c r="I1201" s="9">
        <f t="shared" si="644"/>
        <v>36.354982911825012</v>
      </c>
      <c r="J1201" s="9">
        <f t="shared" si="645"/>
        <v>80.22383554422467</v>
      </c>
    </row>
    <row r="1202" spans="1:10" ht="25.5">
      <c r="A1202" s="8" t="s">
        <v>64</v>
      </c>
      <c r="B1202" s="1" t="s">
        <v>171</v>
      </c>
      <c r="C1202" s="1" t="s">
        <v>65</v>
      </c>
      <c r="D1202" s="9">
        <f>D1203</f>
        <v>292.60000000000002</v>
      </c>
      <c r="E1202" s="9">
        <f>E1203</f>
        <v>292.60000000000002</v>
      </c>
      <c r="F1202" s="9">
        <f t="shared" si="651"/>
        <v>132.59735000000001</v>
      </c>
      <c r="G1202" s="9">
        <f t="shared" si="651"/>
        <v>132.59735000000001</v>
      </c>
      <c r="H1202" s="9">
        <f>H1203</f>
        <v>106.37468</v>
      </c>
      <c r="I1202" s="9">
        <f t="shared" si="644"/>
        <v>36.354982911825012</v>
      </c>
      <c r="J1202" s="9">
        <f t="shared" si="645"/>
        <v>80.22383554422467</v>
      </c>
    </row>
    <row r="1203" spans="1:10" ht="25.5">
      <c r="A1203" s="8" t="s">
        <v>172</v>
      </c>
      <c r="B1203" s="1" t="s">
        <v>171</v>
      </c>
      <c r="C1203" s="1" t="s">
        <v>173</v>
      </c>
      <c r="D1203" s="9">
        <f>ведомство!G231</f>
        <v>292.60000000000002</v>
      </c>
      <c r="E1203" s="9">
        <f>ведомство!H231</f>
        <v>292.60000000000002</v>
      </c>
      <c r="F1203" s="9">
        <f>ведомство!I231</f>
        <v>132.59735000000001</v>
      </c>
      <c r="G1203" s="9">
        <f>ведомство!J231</f>
        <v>132.59735000000001</v>
      </c>
      <c r="H1203" s="9">
        <f>ведомство!K231</f>
        <v>106.37468</v>
      </c>
      <c r="I1203" s="9">
        <f t="shared" si="644"/>
        <v>36.354982911825012</v>
      </c>
      <c r="J1203" s="9">
        <f t="shared" si="645"/>
        <v>80.22383554422467</v>
      </c>
    </row>
    <row r="1204" spans="1:10" ht="38.25">
      <c r="A1204" s="8" t="s">
        <v>905</v>
      </c>
      <c r="B1204" s="1" t="s">
        <v>906</v>
      </c>
      <c r="C1204" s="1" t="s">
        <v>0</v>
      </c>
      <c r="D1204" s="9">
        <f>D1205+D1207+D1209</f>
        <v>14000</v>
      </c>
      <c r="E1204" s="9">
        <f>E1205+E1207+E1209</f>
        <v>14000</v>
      </c>
      <c r="F1204" s="9">
        <f t="shared" ref="F1204:G1204" si="652">F1205+F1207+F1209</f>
        <v>10983.4</v>
      </c>
      <c r="G1204" s="9">
        <f t="shared" si="652"/>
        <v>10843.4</v>
      </c>
      <c r="H1204" s="9">
        <f>H1205+H1207+H1209</f>
        <v>10797.18095</v>
      </c>
      <c r="I1204" s="9">
        <f t="shared" si="644"/>
        <v>77.122721071428572</v>
      </c>
      <c r="J1204" s="9">
        <f t="shared" si="645"/>
        <v>98.304540943605815</v>
      </c>
    </row>
    <row r="1205" spans="1:10" s="42" customFormat="1" ht="51">
      <c r="A1205" s="8" t="s">
        <v>60</v>
      </c>
      <c r="B1205" s="1" t="s">
        <v>906</v>
      </c>
      <c r="C1205" s="1">
        <v>100</v>
      </c>
      <c r="D1205" s="9">
        <f>D1206</f>
        <v>0</v>
      </c>
      <c r="E1205" s="9">
        <f>E1206</f>
        <v>385</v>
      </c>
      <c r="F1205" s="9">
        <f t="shared" ref="F1205:G1205" si="653">F1206</f>
        <v>385</v>
      </c>
      <c r="G1205" s="9">
        <f t="shared" si="653"/>
        <v>385</v>
      </c>
      <c r="H1205" s="9">
        <f>H1206</f>
        <v>385</v>
      </c>
      <c r="I1205" s="9">
        <f t="shared" ref="I1205:I1208" si="654">H1205/E1205*100</f>
        <v>100</v>
      </c>
      <c r="J1205" s="9">
        <f t="shared" ref="J1205:J1208" si="655">H1205/F1205*100</f>
        <v>100</v>
      </c>
    </row>
    <row r="1206" spans="1:10" s="42" customFormat="1">
      <c r="A1206" s="8" t="s">
        <v>78</v>
      </c>
      <c r="B1206" s="1" t="s">
        <v>906</v>
      </c>
      <c r="C1206" s="1">
        <v>110</v>
      </c>
      <c r="D1206" s="9">
        <f>ведомство!G2269</f>
        <v>0</v>
      </c>
      <c r="E1206" s="9">
        <f>ведомство!H2269</f>
        <v>385</v>
      </c>
      <c r="F1206" s="9">
        <f>ведомство!I2269</f>
        <v>385</v>
      </c>
      <c r="G1206" s="9">
        <f>ведомство!J2269</f>
        <v>385</v>
      </c>
      <c r="H1206" s="9">
        <f>ведомство!K2269</f>
        <v>385</v>
      </c>
      <c r="I1206" s="9">
        <f t="shared" si="654"/>
        <v>100</v>
      </c>
      <c r="J1206" s="9">
        <f t="shared" si="655"/>
        <v>100</v>
      </c>
    </row>
    <row r="1207" spans="1:10" s="42" customFormat="1" ht="25.5">
      <c r="A1207" s="8" t="s">
        <v>64</v>
      </c>
      <c r="B1207" s="1" t="s">
        <v>906</v>
      </c>
      <c r="C1207" s="1">
        <v>200</v>
      </c>
      <c r="D1207" s="9">
        <f>D1208</f>
        <v>0</v>
      </c>
      <c r="E1207" s="9">
        <f>E1208</f>
        <v>11758.4</v>
      </c>
      <c r="F1207" s="9">
        <f t="shared" ref="F1207:G1207" si="656">F1208</f>
        <v>10458.4</v>
      </c>
      <c r="G1207" s="9">
        <f t="shared" si="656"/>
        <v>10458.4</v>
      </c>
      <c r="H1207" s="9">
        <f>H1208</f>
        <v>10412.18095</v>
      </c>
      <c r="I1207" s="9">
        <f t="shared" si="654"/>
        <v>88.551001411756701</v>
      </c>
      <c r="J1207" s="9">
        <f t="shared" si="655"/>
        <v>99.55806767765624</v>
      </c>
    </row>
    <row r="1208" spans="1:10" s="42" customFormat="1" ht="25.5">
      <c r="A1208" s="8" t="s">
        <v>66</v>
      </c>
      <c r="B1208" s="1" t="s">
        <v>906</v>
      </c>
      <c r="C1208" s="1">
        <v>240</v>
      </c>
      <c r="D1208" s="9">
        <f>ведомство!G2271</f>
        <v>0</v>
      </c>
      <c r="E1208" s="9">
        <f>ведомство!H2271</f>
        <v>11758.4</v>
      </c>
      <c r="F1208" s="9">
        <f>ведомство!I2271</f>
        <v>10458.4</v>
      </c>
      <c r="G1208" s="9">
        <f>ведомство!J2271</f>
        <v>10458.4</v>
      </c>
      <c r="H1208" s="9">
        <f>ведомство!K2271</f>
        <v>10412.18095</v>
      </c>
      <c r="I1208" s="9">
        <f t="shared" si="654"/>
        <v>88.551001411756701</v>
      </c>
      <c r="J1208" s="9">
        <f t="shared" si="655"/>
        <v>99.55806767765624</v>
      </c>
    </row>
    <row r="1209" spans="1:10">
      <c r="A1209" s="8" t="s">
        <v>72</v>
      </c>
      <c r="B1209" s="1" t="s">
        <v>906</v>
      </c>
      <c r="C1209" s="1" t="s">
        <v>73</v>
      </c>
      <c r="D1209" s="9">
        <f>D1210</f>
        <v>14000</v>
      </c>
      <c r="E1209" s="9">
        <f>E1210</f>
        <v>1856.6</v>
      </c>
      <c r="F1209" s="9">
        <f t="shared" ref="F1209:G1209" si="657">F1210</f>
        <v>140</v>
      </c>
      <c r="G1209" s="9">
        <f t="shared" si="657"/>
        <v>0</v>
      </c>
      <c r="H1209" s="9">
        <f>H1210</f>
        <v>0</v>
      </c>
      <c r="I1209" s="9">
        <f t="shared" si="644"/>
        <v>0</v>
      </c>
      <c r="J1209" s="9">
        <v>0</v>
      </c>
    </row>
    <row r="1210" spans="1:10">
      <c r="A1210" s="8" t="s">
        <v>369</v>
      </c>
      <c r="B1210" s="1" t="s">
        <v>906</v>
      </c>
      <c r="C1210" s="1" t="s">
        <v>370</v>
      </c>
      <c r="D1210" s="9">
        <f>ведомство!G2273</f>
        <v>14000</v>
      </c>
      <c r="E1210" s="9">
        <f>ведомство!H2273</f>
        <v>1856.6</v>
      </c>
      <c r="F1210" s="9">
        <f>ведомство!I2273</f>
        <v>140</v>
      </c>
      <c r="G1210" s="9">
        <f>ведомство!J2273</f>
        <v>0</v>
      </c>
      <c r="H1210" s="9">
        <f>ведомство!K2273</f>
        <v>0</v>
      </c>
      <c r="I1210" s="9">
        <f t="shared" si="644"/>
        <v>0</v>
      </c>
      <c r="J1210" s="9">
        <v>0</v>
      </c>
    </row>
    <row r="1211" spans="1:10">
      <c r="A1211" s="4" t="s">
        <v>0</v>
      </c>
      <c r="B1211" s="17" t="s">
        <v>0</v>
      </c>
      <c r="C1211" s="5" t="s">
        <v>0</v>
      </c>
      <c r="D1211" s="7" t="s">
        <v>0</v>
      </c>
      <c r="E1211" s="7" t="s">
        <v>0</v>
      </c>
      <c r="F1211" s="7" t="s">
        <v>0</v>
      </c>
      <c r="G1211" s="7" t="s">
        <v>0</v>
      </c>
      <c r="H1211" s="7" t="s">
        <v>0</v>
      </c>
      <c r="I1211" s="7"/>
      <c r="J1211" s="7"/>
    </row>
    <row r="1212" spans="1:10" ht="25.5">
      <c r="A1212" s="4" t="s">
        <v>907</v>
      </c>
      <c r="B1212" s="5" t="s">
        <v>908</v>
      </c>
      <c r="C1212" s="5" t="s">
        <v>0</v>
      </c>
      <c r="D1212" s="7">
        <f>D1213+D1221</f>
        <v>15588.9</v>
      </c>
      <c r="E1212" s="7">
        <f t="shared" ref="E1212" si="658">E1213+E1221</f>
        <v>15710.325290000001</v>
      </c>
      <c r="F1212" s="7">
        <f t="shared" ref="F1212:H1212" si="659">F1213+F1221</f>
        <v>10969.02529</v>
      </c>
      <c r="G1212" s="7">
        <f t="shared" si="659"/>
        <v>10969.02529</v>
      </c>
      <c r="H1212" s="7">
        <f t="shared" si="659"/>
        <v>10765.53774</v>
      </c>
      <c r="I1212" s="7">
        <f t="shared" si="644"/>
        <v>68.525237646431947</v>
      </c>
      <c r="J1212" s="7">
        <f t="shared" si="645"/>
        <v>98.144889407944831</v>
      </c>
    </row>
    <row r="1213" spans="1:10" ht="25.5">
      <c r="A1213" s="8" t="s">
        <v>58</v>
      </c>
      <c r="B1213" s="1" t="s">
        <v>909</v>
      </c>
      <c r="C1213" s="1" t="s">
        <v>0</v>
      </c>
      <c r="D1213" s="9">
        <f>D1214+D1216+D1218</f>
        <v>15388.9</v>
      </c>
      <c r="E1213" s="9">
        <f>E1214+E1216+E1218</f>
        <v>15510.325290000001</v>
      </c>
      <c r="F1213" s="9">
        <f t="shared" ref="F1213:G1213" si="660">F1214+F1216+F1218</f>
        <v>10869.02529</v>
      </c>
      <c r="G1213" s="9">
        <f t="shared" si="660"/>
        <v>10869.02529</v>
      </c>
      <c r="H1213" s="9">
        <f>H1214+H1216+H1218</f>
        <v>10665.937739999999</v>
      </c>
      <c r="I1213" s="9">
        <f t="shared" si="644"/>
        <v>68.766692771277121</v>
      </c>
      <c r="J1213" s="9">
        <f t="shared" si="645"/>
        <v>98.131501725487297</v>
      </c>
    </row>
    <row r="1214" spans="1:10" ht="51">
      <c r="A1214" s="8" t="s">
        <v>60</v>
      </c>
      <c r="B1214" s="1" t="s">
        <v>909</v>
      </c>
      <c r="C1214" s="1" t="s">
        <v>61</v>
      </c>
      <c r="D1214" s="9">
        <f>D1215</f>
        <v>13319.9</v>
      </c>
      <c r="E1214" s="9">
        <f>E1215</f>
        <v>13319.900000000001</v>
      </c>
      <c r="F1214" s="9">
        <f t="shared" ref="F1214:G1214" si="661">F1215</f>
        <v>9070</v>
      </c>
      <c r="G1214" s="9">
        <f t="shared" si="661"/>
        <v>9070</v>
      </c>
      <c r="H1214" s="9">
        <f>H1215</f>
        <v>8941.3035500000005</v>
      </c>
      <c r="I1214" s="9">
        <f t="shared" si="644"/>
        <v>67.127407488044199</v>
      </c>
      <c r="J1214" s="9">
        <f t="shared" si="645"/>
        <v>98.581075523704527</v>
      </c>
    </row>
    <row r="1215" spans="1:10" ht="25.5">
      <c r="A1215" s="8" t="s">
        <v>62</v>
      </c>
      <c r="B1215" s="1" t="s">
        <v>909</v>
      </c>
      <c r="C1215" s="1" t="s">
        <v>63</v>
      </c>
      <c r="D1215" s="9">
        <f>ведомство!G2277</f>
        <v>13319.9</v>
      </c>
      <c r="E1215" s="9">
        <f>ведомство!H2277</f>
        <v>13319.900000000001</v>
      </c>
      <c r="F1215" s="9">
        <f>ведомство!I2277</f>
        <v>9070</v>
      </c>
      <c r="G1215" s="9">
        <f>ведомство!J2277</f>
        <v>9070</v>
      </c>
      <c r="H1215" s="9">
        <f>ведомство!K2277</f>
        <v>8941.3035500000005</v>
      </c>
      <c r="I1215" s="9">
        <f t="shared" si="644"/>
        <v>67.127407488044199</v>
      </c>
      <c r="J1215" s="9">
        <f t="shared" si="645"/>
        <v>98.581075523704527</v>
      </c>
    </row>
    <row r="1216" spans="1:10" ht="25.5">
      <c r="A1216" s="8" t="s">
        <v>64</v>
      </c>
      <c r="B1216" s="1" t="s">
        <v>909</v>
      </c>
      <c r="C1216" s="1" t="s">
        <v>65</v>
      </c>
      <c r="D1216" s="9">
        <f>D1217</f>
        <v>2033.5</v>
      </c>
      <c r="E1216" s="9">
        <f>E1217</f>
        <v>2033.5</v>
      </c>
      <c r="F1216" s="9">
        <f t="shared" ref="F1216:G1216" si="662">F1217</f>
        <v>1650</v>
      </c>
      <c r="G1216" s="9">
        <f t="shared" si="662"/>
        <v>1650</v>
      </c>
      <c r="H1216" s="9">
        <f>H1217</f>
        <v>1575.6088999999999</v>
      </c>
      <c r="I1216" s="9">
        <f t="shared" si="644"/>
        <v>77.482611261372014</v>
      </c>
      <c r="J1216" s="9">
        <f t="shared" si="645"/>
        <v>95.49144848484849</v>
      </c>
    </row>
    <row r="1217" spans="1:10" ht="25.5">
      <c r="A1217" s="8" t="s">
        <v>66</v>
      </c>
      <c r="B1217" s="1" t="s">
        <v>909</v>
      </c>
      <c r="C1217" s="1" t="s">
        <v>67</v>
      </c>
      <c r="D1217" s="9">
        <f>ведомство!G2279</f>
        <v>2033.5</v>
      </c>
      <c r="E1217" s="9">
        <f>ведомство!H2279</f>
        <v>2033.5</v>
      </c>
      <c r="F1217" s="9">
        <f>ведомство!I2279</f>
        <v>1650</v>
      </c>
      <c r="G1217" s="9">
        <f>ведомство!J2279</f>
        <v>1650</v>
      </c>
      <c r="H1217" s="9">
        <f>ведомство!K2279</f>
        <v>1575.6088999999999</v>
      </c>
      <c r="I1217" s="9">
        <f t="shared" si="644"/>
        <v>77.482611261372014</v>
      </c>
      <c r="J1217" s="9">
        <f t="shared" si="645"/>
        <v>95.49144848484849</v>
      </c>
    </row>
    <row r="1218" spans="1:10">
      <c r="A1218" s="8" t="s">
        <v>72</v>
      </c>
      <c r="B1218" s="1" t="s">
        <v>909</v>
      </c>
      <c r="C1218" s="1" t="s">
        <v>73</v>
      </c>
      <c r="D1218" s="9">
        <f>D1219+D1220</f>
        <v>35.5</v>
      </c>
      <c r="E1218" s="9">
        <f>E1219+E1220</f>
        <v>156.92529000000002</v>
      </c>
      <c r="F1218" s="9">
        <f t="shared" ref="F1218:G1218" si="663">F1219+F1220</f>
        <v>149.02529000000001</v>
      </c>
      <c r="G1218" s="9">
        <f t="shared" si="663"/>
        <v>149.02529000000001</v>
      </c>
      <c r="H1218" s="9">
        <f>H1219+H1220</f>
        <v>149.02529000000001</v>
      </c>
      <c r="I1218" s="9">
        <f t="shared" si="644"/>
        <v>94.965757272138859</v>
      </c>
      <c r="J1218" s="9">
        <f t="shared" si="645"/>
        <v>100</v>
      </c>
    </row>
    <row r="1219" spans="1:10" s="42" customFormat="1">
      <c r="A1219" s="25" t="s">
        <v>84</v>
      </c>
      <c r="B1219" s="1" t="s">
        <v>909</v>
      </c>
      <c r="C1219" s="1">
        <v>830</v>
      </c>
      <c r="D1219" s="9">
        <f>ведомство!G2281</f>
        <v>0</v>
      </c>
      <c r="E1219" s="9">
        <f>ведомство!H2281</f>
        <v>121.42529</v>
      </c>
      <c r="F1219" s="9">
        <f>ведомство!I2281</f>
        <v>121.42529</v>
      </c>
      <c r="G1219" s="9">
        <f>ведомство!J2281</f>
        <v>121.42529</v>
      </c>
      <c r="H1219" s="9">
        <f>ведомство!K2281</f>
        <v>121.42529</v>
      </c>
      <c r="I1219" s="9">
        <f t="shared" ref="I1219" si="664">H1219/E1219*100</f>
        <v>100</v>
      </c>
      <c r="J1219" s="9">
        <f t="shared" ref="J1219" si="665">H1219/F1219*100</f>
        <v>100</v>
      </c>
    </row>
    <row r="1220" spans="1:10">
      <c r="A1220" s="8" t="s">
        <v>74</v>
      </c>
      <c r="B1220" s="1" t="s">
        <v>909</v>
      </c>
      <c r="C1220" s="1" t="s">
        <v>75</v>
      </c>
      <c r="D1220" s="9">
        <f>ведомство!G2282</f>
        <v>35.5</v>
      </c>
      <c r="E1220" s="9">
        <f>ведомство!H2282</f>
        <v>35.5</v>
      </c>
      <c r="F1220" s="9">
        <f>ведомство!I2282</f>
        <v>27.6</v>
      </c>
      <c r="G1220" s="9">
        <f>ведомство!J2282</f>
        <v>27.6</v>
      </c>
      <c r="H1220" s="9">
        <f>ведомство!K2282</f>
        <v>27.6</v>
      </c>
      <c r="I1220" s="9">
        <f t="shared" si="644"/>
        <v>77.74647887323944</v>
      </c>
      <c r="J1220" s="9">
        <f t="shared" si="645"/>
        <v>100</v>
      </c>
    </row>
    <row r="1221" spans="1:10" s="88" customFormat="1">
      <c r="A1221" s="59" t="s">
        <v>609</v>
      </c>
      <c r="B1221" s="29" t="s">
        <v>1250</v>
      </c>
      <c r="C1221" s="28"/>
      <c r="D1221" s="9">
        <f>D1222</f>
        <v>200</v>
      </c>
      <c r="E1221" s="9">
        <f t="shared" ref="E1221:H1222" si="666">E1222</f>
        <v>200</v>
      </c>
      <c r="F1221" s="9">
        <f t="shared" si="666"/>
        <v>100</v>
      </c>
      <c r="G1221" s="9">
        <f t="shared" si="666"/>
        <v>100</v>
      </c>
      <c r="H1221" s="9">
        <f t="shared" si="666"/>
        <v>99.6</v>
      </c>
      <c r="I1221" s="9">
        <f t="shared" ref="I1221:I1223" si="667">H1221/E1221*100</f>
        <v>49.8</v>
      </c>
      <c r="J1221" s="9">
        <f t="shared" ref="J1221:J1223" si="668">H1221/F1221*100</f>
        <v>99.6</v>
      </c>
    </row>
    <row r="1222" spans="1:10" s="88" customFormat="1" ht="25.5">
      <c r="A1222" s="59" t="s">
        <v>64</v>
      </c>
      <c r="B1222" s="29" t="s">
        <v>1250</v>
      </c>
      <c r="C1222" s="28">
        <v>200</v>
      </c>
      <c r="D1222" s="9">
        <f>D1223</f>
        <v>200</v>
      </c>
      <c r="E1222" s="9">
        <f t="shared" si="666"/>
        <v>200</v>
      </c>
      <c r="F1222" s="9">
        <f t="shared" si="666"/>
        <v>100</v>
      </c>
      <c r="G1222" s="9">
        <f t="shared" si="666"/>
        <v>100</v>
      </c>
      <c r="H1222" s="9">
        <f t="shared" si="666"/>
        <v>99.6</v>
      </c>
      <c r="I1222" s="9">
        <f t="shared" si="667"/>
        <v>49.8</v>
      </c>
      <c r="J1222" s="9">
        <f t="shared" si="668"/>
        <v>99.6</v>
      </c>
    </row>
    <row r="1223" spans="1:10" s="88" customFormat="1" ht="25.5">
      <c r="A1223" s="59" t="s">
        <v>66</v>
      </c>
      <c r="B1223" s="29" t="s">
        <v>1250</v>
      </c>
      <c r="C1223" s="28">
        <v>240</v>
      </c>
      <c r="D1223" s="9">
        <f>ведомство!G2285</f>
        <v>200</v>
      </c>
      <c r="E1223" s="9">
        <f>ведомство!H2285</f>
        <v>200</v>
      </c>
      <c r="F1223" s="9">
        <f>ведомство!I2285</f>
        <v>100</v>
      </c>
      <c r="G1223" s="9">
        <f>ведомство!J2285</f>
        <v>100</v>
      </c>
      <c r="H1223" s="9">
        <f>ведомство!K2285</f>
        <v>99.6</v>
      </c>
      <c r="I1223" s="9">
        <f t="shared" si="667"/>
        <v>49.8</v>
      </c>
      <c r="J1223" s="9">
        <f t="shared" si="668"/>
        <v>99.6</v>
      </c>
    </row>
    <row r="1224" spans="1:10">
      <c r="A1224" s="4" t="s">
        <v>0</v>
      </c>
      <c r="B1224" s="17" t="s">
        <v>0</v>
      </c>
      <c r="C1224" s="5" t="s">
        <v>0</v>
      </c>
      <c r="D1224" s="7" t="s">
        <v>0</v>
      </c>
      <c r="E1224" s="7" t="s">
        <v>0</v>
      </c>
      <c r="F1224" s="7" t="s">
        <v>0</v>
      </c>
      <c r="G1224" s="7" t="s">
        <v>0</v>
      </c>
      <c r="H1224" s="7" t="s">
        <v>0</v>
      </c>
      <c r="I1224" s="7"/>
      <c r="J1224" s="7"/>
    </row>
    <row r="1225" spans="1:10" ht="38.25">
      <c r="A1225" s="34" t="s">
        <v>910</v>
      </c>
      <c r="B1225" s="5" t="s">
        <v>911</v>
      </c>
      <c r="C1225" s="5" t="s">
        <v>0</v>
      </c>
      <c r="D1225" s="7">
        <f>D1226+D1229</f>
        <v>45634</v>
      </c>
      <c r="E1225" s="7">
        <f>E1226+E1229</f>
        <v>45634</v>
      </c>
      <c r="F1225" s="7">
        <f t="shared" ref="F1225:G1225" si="669">F1226+F1229</f>
        <v>30534.22178</v>
      </c>
      <c r="G1225" s="7">
        <f t="shared" si="669"/>
        <v>10876.621779999999</v>
      </c>
      <c r="H1225" s="7">
        <f>H1226+H1229</f>
        <v>10456.59418</v>
      </c>
      <c r="I1225" s="7">
        <f t="shared" si="644"/>
        <v>22.914042555988956</v>
      </c>
      <c r="J1225" s="7">
        <f t="shared" si="645"/>
        <v>34.245491027543061</v>
      </c>
    </row>
    <row r="1226" spans="1:10" ht="25.5">
      <c r="A1226" s="25" t="s">
        <v>748</v>
      </c>
      <c r="B1226" s="1" t="s">
        <v>952</v>
      </c>
      <c r="C1226" s="1" t="s">
        <v>0</v>
      </c>
      <c r="D1226" s="9">
        <f>D1227</f>
        <v>28634</v>
      </c>
      <c r="E1226" s="9">
        <f>E1227</f>
        <v>28634</v>
      </c>
      <c r="F1226" s="9">
        <f t="shared" ref="F1226:G1227" si="670">F1227</f>
        <v>27594</v>
      </c>
      <c r="G1226" s="9">
        <f t="shared" si="670"/>
        <v>7936.4</v>
      </c>
      <c r="H1226" s="9">
        <f>H1227</f>
        <v>7936.4</v>
      </c>
      <c r="I1226" s="9">
        <f t="shared" si="644"/>
        <v>27.716700426066915</v>
      </c>
      <c r="J1226" s="9">
        <f t="shared" si="645"/>
        <v>28.761324925708486</v>
      </c>
    </row>
    <row r="1227" spans="1:10" ht="25.5">
      <c r="A1227" s="8" t="s">
        <v>80</v>
      </c>
      <c r="B1227" s="1" t="s">
        <v>952</v>
      </c>
      <c r="C1227" s="1" t="s">
        <v>81</v>
      </c>
      <c r="D1227" s="9">
        <f>D1228</f>
        <v>28634</v>
      </c>
      <c r="E1227" s="9">
        <f>E1228</f>
        <v>28634</v>
      </c>
      <c r="F1227" s="9">
        <f t="shared" si="670"/>
        <v>27594</v>
      </c>
      <c r="G1227" s="9">
        <f t="shared" si="670"/>
        <v>7936.4</v>
      </c>
      <c r="H1227" s="9">
        <f>H1228</f>
        <v>7936.4</v>
      </c>
      <c r="I1227" s="9">
        <f t="shared" si="644"/>
        <v>27.716700426066915</v>
      </c>
      <c r="J1227" s="9">
        <f t="shared" si="645"/>
        <v>28.761324925708486</v>
      </c>
    </row>
    <row r="1228" spans="1:10">
      <c r="A1228" s="8" t="s">
        <v>82</v>
      </c>
      <c r="B1228" s="1" t="s">
        <v>952</v>
      </c>
      <c r="C1228" s="1" t="s">
        <v>83</v>
      </c>
      <c r="D1228" s="9">
        <f>ведомство!G895</f>
        <v>28634</v>
      </c>
      <c r="E1228" s="9">
        <f>ведомство!H895</f>
        <v>28634</v>
      </c>
      <c r="F1228" s="9">
        <f>ведомство!I895</f>
        <v>27594</v>
      </c>
      <c r="G1228" s="9">
        <f>ведомство!J895</f>
        <v>7936.4</v>
      </c>
      <c r="H1228" s="9">
        <f>ведомство!K895</f>
        <v>7936.4</v>
      </c>
      <c r="I1228" s="9">
        <f t="shared" si="644"/>
        <v>27.716700426066915</v>
      </c>
      <c r="J1228" s="9">
        <f t="shared" si="645"/>
        <v>28.761324925708486</v>
      </c>
    </row>
    <row r="1229" spans="1:10" ht="38.25">
      <c r="A1229" s="8" t="s">
        <v>912</v>
      </c>
      <c r="B1229" s="1" t="s">
        <v>913</v>
      </c>
      <c r="C1229" s="1" t="s">
        <v>0</v>
      </c>
      <c r="D1229" s="9">
        <f>D1230</f>
        <v>17000</v>
      </c>
      <c r="E1229" s="9">
        <f>E1230</f>
        <v>17000</v>
      </c>
      <c r="F1229" s="9">
        <f t="shared" ref="F1229:G1230" si="671">F1230</f>
        <v>2940.2217799999999</v>
      </c>
      <c r="G1229" s="9">
        <f t="shared" si="671"/>
        <v>2940.2217799999999</v>
      </c>
      <c r="H1229" s="9">
        <f>H1230</f>
        <v>2520.19418</v>
      </c>
      <c r="I1229" s="9">
        <f t="shared" si="644"/>
        <v>14.824671647058823</v>
      </c>
      <c r="J1229" s="9">
        <f t="shared" si="645"/>
        <v>85.714424576502523</v>
      </c>
    </row>
    <row r="1230" spans="1:10" ht="25.5">
      <c r="A1230" s="8" t="s">
        <v>64</v>
      </c>
      <c r="B1230" s="1" t="s">
        <v>913</v>
      </c>
      <c r="C1230" s="1" t="s">
        <v>65</v>
      </c>
      <c r="D1230" s="9">
        <f>D1231</f>
        <v>17000</v>
      </c>
      <c r="E1230" s="9">
        <f>E1231</f>
        <v>17000</v>
      </c>
      <c r="F1230" s="9">
        <f t="shared" si="671"/>
        <v>2940.2217799999999</v>
      </c>
      <c r="G1230" s="9">
        <f t="shared" si="671"/>
        <v>2940.2217799999999</v>
      </c>
      <c r="H1230" s="9">
        <f>H1231</f>
        <v>2520.19418</v>
      </c>
      <c r="I1230" s="9">
        <f t="shared" si="644"/>
        <v>14.824671647058823</v>
      </c>
      <c r="J1230" s="9">
        <f t="shared" si="645"/>
        <v>85.714424576502523</v>
      </c>
    </row>
    <row r="1231" spans="1:10" ht="25.5">
      <c r="A1231" s="8" t="s">
        <v>66</v>
      </c>
      <c r="B1231" s="1" t="s">
        <v>913</v>
      </c>
      <c r="C1231" s="1" t="s">
        <v>67</v>
      </c>
      <c r="D1231" s="9">
        <f>ведомство!G2289</f>
        <v>17000</v>
      </c>
      <c r="E1231" s="9">
        <f>ведомство!H2289</f>
        <v>17000</v>
      </c>
      <c r="F1231" s="9">
        <f>ведомство!I2289</f>
        <v>2940.2217799999999</v>
      </c>
      <c r="G1231" s="9">
        <f>ведомство!J2289</f>
        <v>2940.2217799999999</v>
      </c>
      <c r="H1231" s="9">
        <f>ведомство!K2289</f>
        <v>2520.19418</v>
      </c>
      <c r="I1231" s="9">
        <f t="shared" si="644"/>
        <v>14.824671647058823</v>
      </c>
      <c r="J1231" s="9">
        <f t="shared" si="645"/>
        <v>85.714424576502523</v>
      </c>
    </row>
    <row r="1232" spans="1:10">
      <c r="A1232" s="4" t="s">
        <v>0</v>
      </c>
      <c r="B1232" s="17" t="s">
        <v>0</v>
      </c>
      <c r="C1232" s="5" t="s">
        <v>0</v>
      </c>
      <c r="D1232" s="7" t="s">
        <v>0</v>
      </c>
      <c r="E1232" s="7" t="s">
        <v>0</v>
      </c>
      <c r="F1232" s="7" t="s">
        <v>0</v>
      </c>
      <c r="G1232" s="7" t="s">
        <v>0</v>
      </c>
      <c r="H1232" s="7" t="s">
        <v>0</v>
      </c>
      <c r="I1232" s="7"/>
      <c r="J1232" s="7"/>
    </row>
    <row r="1233" spans="1:10" ht="38.25">
      <c r="A1233" s="4" t="s">
        <v>33</v>
      </c>
      <c r="B1233" s="5" t="s">
        <v>34</v>
      </c>
      <c r="C1233" s="5" t="s">
        <v>0</v>
      </c>
      <c r="D1233" s="7">
        <f>D1234+D1245+D1257</f>
        <v>89699.900000000009</v>
      </c>
      <c r="E1233" s="7">
        <f>E1234+E1245+E1257</f>
        <v>148069.535</v>
      </c>
      <c r="F1233" s="7">
        <f t="shared" ref="F1233:G1233" si="672">F1234+F1245+F1257</f>
        <v>37135.445090000001</v>
      </c>
      <c r="G1233" s="7">
        <f t="shared" si="672"/>
        <v>37135.445090000001</v>
      </c>
      <c r="H1233" s="7">
        <f>H1234+H1245+H1257</f>
        <v>37127.945090000001</v>
      </c>
      <c r="I1233" s="7">
        <f t="shared" si="644"/>
        <v>25.074668526513573</v>
      </c>
      <c r="J1233" s="7">
        <f t="shared" si="645"/>
        <v>99.979803662022022</v>
      </c>
    </row>
    <row r="1234" spans="1:10" ht="25.5">
      <c r="A1234" s="4" t="s">
        <v>268</v>
      </c>
      <c r="B1234" s="5" t="s">
        <v>269</v>
      </c>
      <c r="C1234" s="5" t="s">
        <v>0</v>
      </c>
      <c r="D1234" s="7">
        <f>D1235+D1238+D1241</f>
        <v>41275.800000000003</v>
      </c>
      <c r="E1234" s="7">
        <f>E1235+E1238+E1241</f>
        <v>41275.800000000003</v>
      </c>
      <c r="F1234" s="7">
        <f t="shared" ref="F1234:G1234" si="673">F1235+F1238+F1241</f>
        <v>21945.599999999999</v>
      </c>
      <c r="G1234" s="7">
        <f t="shared" si="673"/>
        <v>21945.599999999999</v>
      </c>
      <c r="H1234" s="7">
        <f>H1235+H1238+H1241</f>
        <v>21945.599999999999</v>
      </c>
      <c r="I1234" s="7">
        <f t="shared" si="644"/>
        <v>53.168200252932706</v>
      </c>
      <c r="J1234" s="7">
        <f t="shared" si="645"/>
        <v>100</v>
      </c>
    </row>
    <row r="1235" spans="1:10" ht="25.5">
      <c r="A1235" s="8" t="s">
        <v>76</v>
      </c>
      <c r="B1235" s="1" t="s">
        <v>270</v>
      </c>
      <c r="C1235" s="1" t="s">
        <v>0</v>
      </c>
      <c r="D1235" s="9">
        <f>D1236</f>
        <v>28825.8</v>
      </c>
      <c r="E1235" s="9">
        <f>E1236</f>
        <v>28825.8</v>
      </c>
      <c r="F1235" s="9">
        <f t="shared" ref="F1235:G1236" si="674">F1236</f>
        <v>21945.599999999999</v>
      </c>
      <c r="G1235" s="9">
        <f t="shared" si="674"/>
        <v>21945.599999999999</v>
      </c>
      <c r="H1235" s="9">
        <f>H1236</f>
        <v>21945.599999999999</v>
      </c>
      <c r="I1235" s="9">
        <f t="shared" si="644"/>
        <v>76.131798597090111</v>
      </c>
      <c r="J1235" s="9">
        <f t="shared" si="645"/>
        <v>100</v>
      </c>
    </row>
    <row r="1236" spans="1:10" ht="25.5">
      <c r="A1236" s="8" t="s">
        <v>80</v>
      </c>
      <c r="B1236" s="1" t="s">
        <v>270</v>
      </c>
      <c r="C1236" s="1" t="s">
        <v>81</v>
      </c>
      <c r="D1236" s="9">
        <f>D1237</f>
        <v>28825.8</v>
      </c>
      <c r="E1236" s="9">
        <f>E1237</f>
        <v>28825.8</v>
      </c>
      <c r="F1236" s="9">
        <f t="shared" si="674"/>
        <v>21945.599999999999</v>
      </c>
      <c r="G1236" s="9">
        <f t="shared" si="674"/>
        <v>21945.599999999999</v>
      </c>
      <c r="H1236" s="9">
        <f>H1237</f>
        <v>21945.599999999999</v>
      </c>
      <c r="I1236" s="9">
        <f t="shared" si="644"/>
        <v>76.131798597090111</v>
      </c>
      <c r="J1236" s="9">
        <f t="shared" si="645"/>
        <v>100</v>
      </c>
    </row>
    <row r="1237" spans="1:10">
      <c r="A1237" s="8" t="s">
        <v>271</v>
      </c>
      <c r="B1237" s="1" t="s">
        <v>270</v>
      </c>
      <c r="C1237" s="1" t="s">
        <v>272</v>
      </c>
      <c r="D1237" s="9">
        <f>ведомство!G473</f>
        <v>28825.8</v>
      </c>
      <c r="E1237" s="9">
        <f>ведомство!H473</f>
        <v>28825.8</v>
      </c>
      <c r="F1237" s="9">
        <f>ведомство!I473</f>
        <v>21945.599999999999</v>
      </c>
      <c r="G1237" s="9">
        <f>ведомство!J473</f>
        <v>21945.599999999999</v>
      </c>
      <c r="H1237" s="9">
        <f>ведомство!K473</f>
        <v>21945.599999999999</v>
      </c>
      <c r="I1237" s="9">
        <f t="shared" si="644"/>
        <v>76.131798597090111</v>
      </c>
      <c r="J1237" s="9">
        <f t="shared" si="645"/>
        <v>100</v>
      </c>
    </row>
    <row r="1238" spans="1:10" ht="25.5">
      <c r="A1238" s="8" t="s">
        <v>273</v>
      </c>
      <c r="B1238" s="1" t="s">
        <v>274</v>
      </c>
      <c r="C1238" s="1" t="s">
        <v>0</v>
      </c>
      <c r="D1238" s="9">
        <f>D1239</f>
        <v>450</v>
      </c>
      <c r="E1238" s="9">
        <f>E1239</f>
        <v>450</v>
      </c>
      <c r="F1238" s="9">
        <f t="shared" ref="F1238:G1239" si="675">F1239</f>
        <v>0</v>
      </c>
      <c r="G1238" s="9">
        <f t="shared" si="675"/>
        <v>0</v>
      </c>
      <c r="H1238" s="9">
        <f>H1239</f>
        <v>0</v>
      </c>
      <c r="I1238" s="9">
        <f t="shared" si="644"/>
        <v>0</v>
      </c>
      <c r="J1238" s="9">
        <v>0</v>
      </c>
    </row>
    <row r="1239" spans="1:10" ht="25.5">
      <c r="A1239" s="8" t="s">
        <v>80</v>
      </c>
      <c r="B1239" s="1" t="s">
        <v>274</v>
      </c>
      <c r="C1239" s="1" t="s">
        <v>81</v>
      </c>
      <c r="D1239" s="9">
        <f>D1240</f>
        <v>450</v>
      </c>
      <c r="E1239" s="9">
        <f>E1240</f>
        <v>450</v>
      </c>
      <c r="F1239" s="9">
        <f t="shared" si="675"/>
        <v>0</v>
      </c>
      <c r="G1239" s="9">
        <f t="shared" si="675"/>
        <v>0</v>
      </c>
      <c r="H1239" s="9">
        <f>H1240</f>
        <v>0</v>
      </c>
      <c r="I1239" s="9">
        <f t="shared" si="644"/>
        <v>0</v>
      </c>
      <c r="J1239" s="9">
        <v>0</v>
      </c>
    </row>
    <row r="1240" spans="1:10">
      <c r="A1240" s="8" t="s">
        <v>271</v>
      </c>
      <c r="B1240" s="1" t="s">
        <v>274</v>
      </c>
      <c r="C1240" s="1" t="s">
        <v>272</v>
      </c>
      <c r="D1240" s="9">
        <f>ведомство!G476</f>
        <v>450</v>
      </c>
      <c r="E1240" s="9">
        <f>ведомство!H476</f>
        <v>450</v>
      </c>
      <c r="F1240" s="9">
        <f>ведомство!I476</f>
        <v>0</v>
      </c>
      <c r="G1240" s="9">
        <f>ведомство!J476</f>
        <v>0</v>
      </c>
      <c r="H1240" s="9">
        <f>ведомство!K476</f>
        <v>0</v>
      </c>
      <c r="I1240" s="9">
        <f t="shared" si="644"/>
        <v>0</v>
      </c>
      <c r="J1240" s="9">
        <v>0</v>
      </c>
    </row>
    <row r="1241" spans="1:10" ht="25.5">
      <c r="A1241" s="8" t="s">
        <v>266</v>
      </c>
      <c r="B1241" s="1" t="s">
        <v>275</v>
      </c>
      <c r="C1241" s="1" t="s">
        <v>0</v>
      </c>
      <c r="D1241" s="9">
        <f>D1242</f>
        <v>12000</v>
      </c>
      <c r="E1241" s="9">
        <f>E1242</f>
        <v>12000</v>
      </c>
      <c r="F1241" s="9">
        <f t="shared" ref="F1241:G1242" si="676">F1242</f>
        <v>0</v>
      </c>
      <c r="G1241" s="9">
        <f t="shared" si="676"/>
        <v>0</v>
      </c>
      <c r="H1241" s="9">
        <f>H1242</f>
        <v>0</v>
      </c>
      <c r="I1241" s="9">
        <f t="shared" si="644"/>
        <v>0</v>
      </c>
      <c r="J1241" s="9">
        <v>0</v>
      </c>
    </row>
    <row r="1242" spans="1:10" ht="25.5">
      <c r="A1242" s="8" t="s">
        <v>64</v>
      </c>
      <c r="B1242" s="1" t="s">
        <v>275</v>
      </c>
      <c r="C1242" s="1" t="s">
        <v>65</v>
      </c>
      <c r="D1242" s="9">
        <f>D1243</f>
        <v>12000</v>
      </c>
      <c r="E1242" s="9">
        <f>E1243</f>
        <v>12000</v>
      </c>
      <c r="F1242" s="9">
        <f t="shared" si="676"/>
        <v>0</v>
      </c>
      <c r="G1242" s="9">
        <f t="shared" si="676"/>
        <v>0</v>
      </c>
      <c r="H1242" s="9">
        <f>H1243</f>
        <v>0</v>
      </c>
      <c r="I1242" s="9">
        <f t="shared" si="644"/>
        <v>0</v>
      </c>
      <c r="J1242" s="9">
        <v>0</v>
      </c>
    </row>
    <row r="1243" spans="1:10" ht="25.5">
      <c r="A1243" s="8" t="s">
        <v>66</v>
      </c>
      <c r="B1243" s="1" t="s">
        <v>275</v>
      </c>
      <c r="C1243" s="1" t="s">
        <v>67</v>
      </c>
      <c r="D1243" s="9">
        <f>ведомство!G479</f>
        <v>12000</v>
      </c>
      <c r="E1243" s="9">
        <f>ведомство!H479</f>
        <v>12000</v>
      </c>
      <c r="F1243" s="9">
        <f>ведомство!I479</f>
        <v>0</v>
      </c>
      <c r="G1243" s="9">
        <f>ведомство!J479</f>
        <v>0</v>
      </c>
      <c r="H1243" s="9">
        <f>ведомство!K479</f>
        <v>0</v>
      </c>
      <c r="I1243" s="9">
        <f t="shared" si="644"/>
        <v>0</v>
      </c>
      <c r="J1243" s="9">
        <v>0</v>
      </c>
    </row>
    <row r="1244" spans="1:10">
      <c r="A1244" s="4" t="s">
        <v>0</v>
      </c>
      <c r="B1244" s="17" t="s">
        <v>0</v>
      </c>
      <c r="C1244" s="5" t="s">
        <v>0</v>
      </c>
      <c r="D1244" s="7" t="s">
        <v>0</v>
      </c>
      <c r="E1244" s="7" t="s">
        <v>0</v>
      </c>
      <c r="F1244" s="7" t="s">
        <v>0</v>
      </c>
      <c r="G1244" s="7" t="s">
        <v>0</v>
      </c>
      <c r="H1244" s="7" t="s">
        <v>0</v>
      </c>
      <c r="I1244" s="7"/>
      <c r="J1244" s="7"/>
    </row>
    <row r="1245" spans="1:10" ht="25.5">
      <c r="A1245" s="4" t="s">
        <v>276</v>
      </c>
      <c r="B1245" s="5" t="s">
        <v>277</v>
      </c>
      <c r="C1245" s="5" t="s">
        <v>0</v>
      </c>
      <c r="D1245" s="7">
        <f>D1246+D1249</f>
        <v>21134.400000000001</v>
      </c>
      <c r="E1245" s="7">
        <f>E1246+E1249</f>
        <v>21134.400000000001</v>
      </c>
      <c r="F1245" s="7">
        <f t="shared" ref="F1245:G1245" si="677">F1246+F1249</f>
        <v>13755.951859999999</v>
      </c>
      <c r="G1245" s="7">
        <f t="shared" si="677"/>
        <v>13755.951859999999</v>
      </c>
      <c r="H1245" s="7">
        <f>H1246+H1249</f>
        <v>13755.951859999999</v>
      </c>
      <c r="I1245" s="7">
        <f t="shared" si="644"/>
        <v>65.087969660837302</v>
      </c>
      <c r="J1245" s="7">
        <f t="shared" si="645"/>
        <v>100</v>
      </c>
    </row>
    <row r="1246" spans="1:10" ht="89.25">
      <c r="A1246" s="8" t="s">
        <v>278</v>
      </c>
      <c r="B1246" s="1" t="s">
        <v>279</v>
      </c>
      <c r="C1246" s="1" t="s">
        <v>0</v>
      </c>
      <c r="D1246" s="9">
        <f>D1247</f>
        <v>80.3</v>
      </c>
      <c r="E1246" s="9">
        <f>E1247</f>
        <v>80.3</v>
      </c>
      <c r="F1246" s="9">
        <f t="shared" ref="F1246:G1247" si="678">F1247</f>
        <v>0</v>
      </c>
      <c r="G1246" s="9">
        <f t="shared" si="678"/>
        <v>0</v>
      </c>
      <c r="H1246" s="9">
        <f>H1247</f>
        <v>0</v>
      </c>
      <c r="I1246" s="9">
        <f t="shared" si="644"/>
        <v>0</v>
      </c>
      <c r="J1246" s="9">
        <v>0</v>
      </c>
    </row>
    <row r="1247" spans="1:10" ht="25.5">
      <c r="A1247" s="8" t="s">
        <v>64</v>
      </c>
      <c r="B1247" s="1" t="s">
        <v>279</v>
      </c>
      <c r="C1247" s="1" t="s">
        <v>65</v>
      </c>
      <c r="D1247" s="9">
        <f>D1248</f>
        <v>80.3</v>
      </c>
      <c r="E1247" s="9">
        <f>E1248</f>
        <v>80.3</v>
      </c>
      <c r="F1247" s="9">
        <f t="shared" si="678"/>
        <v>0</v>
      </c>
      <c r="G1247" s="9">
        <f t="shared" si="678"/>
        <v>0</v>
      </c>
      <c r="H1247" s="9">
        <f>H1248</f>
        <v>0</v>
      </c>
      <c r="I1247" s="9">
        <f t="shared" si="644"/>
        <v>0</v>
      </c>
      <c r="J1247" s="9">
        <v>0</v>
      </c>
    </row>
    <row r="1248" spans="1:10" ht="25.5">
      <c r="A1248" s="8" t="s">
        <v>66</v>
      </c>
      <c r="B1248" s="1" t="s">
        <v>279</v>
      </c>
      <c r="C1248" s="1" t="s">
        <v>67</v>
      </c>
      <c r="D1248" s="9">
        <f>ведомство!G483</f>
        <v>80.3</v>
      </c>
      <c r="E1248" s="9">
        <f>ведомство!H483</f>
        <v>80.3</v>
      </c>
      <c r="F1248" s="9">
        <f>ведомство!I483</f>
        <v>0</v>
      </c>
      <c r="G1248" s="9">
        <f>ведомство!J483</f>
        <v>0</v>
      </c>
      <c r="H1248" s="9">
        <f>ведомство!K483</f>
        <v>0</v>
      </c>
      <c r="I1248" s="9">
        <f t="shared" si="644"/>
        <v>0</v>
      </c>
      <c r="J1248" s="9">
        <v>0</v>
      </c>
    </row>
    <row r="1249" spans="1:10" ht="89.25">
      <c r="A1249" s="8" t="s">
        <v>280</v>
      </c>
      <c r="B1249" s="1" t="s">
        <v>281</v>
      </c>
      <c r="C1249" s="1" t="s">
        <v>0</v>
      </c>
      <c r="D1249" s="9">
        <f>D1250+D1252+D1254</f>
        <v>21054.100000000002</v>
      </c>
      <c r="E1249" s="9">
        <f>E1250+E1252+E1254</f>
        <v>21054.100000000002</v>
      </c>
      <c r="F1249" s="9">
        <f t="shared" ref="F1249:G1249" si="679">F1250+F1252+F1254</f>
        <v>13755.951859999999</v>
      </c>
      <c r="G1249" s="9">
        <f t="shared" si="679"/>
        <v>13755.951859999999</v>
      </c>
      <c r="H1249" s="9">
        <f>H1250+H1252+H1254</f>
        <v>13755.951859999999</v>
      </c>
      <c r="I1249" s="9">
        <f t="shared" si="644"/>
        <v>65.336214134064136</v>
      </c>
      <c r="J1249" s="9">
        <f t="shared" si="645"/>
        <v>100</v>
      </c>
    </row>
    <row r="1250" spans="1:10" ht="51">
      <c r="A1250" s="8" t="s">
        <v>60</v>
      </c>
      <c r="B1250" s="1" t="s">
        <v>281</v>
      </c>
      <c r="C1250" s="1" t="s">
        <v>61</v>
      </c>
      <c r="D1250" s="9">
        <f>D1251</f>
        <v>17386.3</v>
      </c>
      <c r="E1250" s="9">
        <f>E1251</f>
        <v>17386.3</v>
      </c>
      <c r="F1250" s="9">
        <f t="shared" ref="F1250:G1250" si="680">F1251</f>
        <v>11841.81799</v>
      </c>
      <c r="G1250" s="9">
        <f t="shared" si="680"/>
        <v>11841.81799</v>
      </c>
      <c r="H1250" s="9">
        <f>H1251</f>
        <v>11841.81799</v>
      </c>
      <c r="I1250" s="9">
        <f t="shared" si="644"/>
        <v>68.110052109994655</v>
      </c>
      <c r="J1250" s="9">
        <f t="shared" si="645"/>
        <v>100</v>
      </c>
    </row>
    <row r="1251" spans="1:10" ht="25.5">
      <c r="A1251" s="8" t="s">
        <v>62</v>
      </c>
      <c r="B1251" s="1" t="s">
        <v>281</v>
      </c>
      <c r="C1251" s="1" t="s">
        <v>63</v>
      </c>
      <c r="D1251" s="9">
        <f>ведомство!G486</f>
        <v>17386.3</v>
      </c>
      <c r="E1251" s="9">
        <f>ведомство!H486</f>
        <v>17386.3</v>
      </c>
      <c r="F1251" s="9">
        <f>ведомство!I486</f>
        <v>11841.81799</v>
      </c>
      <c r="G1251" s="9">
        <f>ведомство!J486</f>
        <v>11841.81799</v>
      </c>
      <c r="H1251" s="9">
        <f>ведомство!K486</f>
        <v>11841.81799</v>
      </c>
      <c r="I1251" s="9">
        <f t="shared" si="644"/>
        <v>68.110052109994655</v>
      </c>
      <c r="J1251" s="9">
        <f t="shared" si="645"/>
        <v>100</v>
      </c>
    </row>
    <row r="1252" spans="1:10" ht="25.5">
      <c r="A1252" s="8" t="s">
        <v>64</v>
      </c>
      <c r="B1252" s="1" t="s">
        <v>281</v>
      </c>
      <c r="C1252" s="1" t="s">
        <v>65</v>
      </c>
      <c r="D1252" s="9">
        <f>D1253</f>
        <v>3599.9</v>
      </c>
      <c r="E1252" s="9">
        <f>E1253</f>
        <v>3599.9</v>
      </c>
      <c r="F1252" s="9">
        <f t="shared" ref="F1252:G1252" si="681">F1253</f>
        <v>1876.1115299999999</v>
      </c>
      <c r="G1252" s="9">
        <f t="shared" si="681"/>
        <v>1876.1115299999999</v>
      </c>
      <c r="H1252" s="9">
        <f>H1253</f>
        <v>1876.1115299999999</v>
      </c>
      <c r="I1252" s="9">
        <f t="shared" si="644"/>
        <v>52.115656823800663</v>
      </c>
      <c r="J1252" s="9">
        <f t="shared" si="645"/>
        <v>100</v>
      </c>
    </row>
    <row r="1253" spans="1:10" ht="25.5">
      <c r="A1253" s="8" t="s">
        <v>66</v>
      </c>
      <c r="B1253" s="1" t="s">
        <v>281</v>
      </c>
      <c r="C1253" s="1" t="s">
        <v>67</v>
      </c>
      <c r="D1253" s="9">
        <f>ведомство!G488</f>
        <v>3599.9</v>
      </c>
      <c r="E1253" s="9">
        <f>ведомство!H488</f>
        <v>3599.9</v>
      </c>
      <c r="F1253" s="9">
        <f>ведомство!I488</f>
        <v>1876.1115299999999</v>
      </c>
      <c r="G1253" s="9">
        <f>ведомство!J488</f>
        <v>1876.1115299999999</v>
      </c>
      <c r="H1253" s="9">
        <f>ведомство!K488</f>
        <v>1876.1115299999999</v>
      </c>
      <c r="I1253" s="9">
        <f t="shared" si="644"/>
        <v>52.115656823800663</v>
      </c>
      <c r="J1253" s="9">
        <f t="shared" si="645"/>
        <v>100</v>
      </c>
    </row>
    <row r="1254" spans="1:10">
      <c r="A1254" s="8" t="s">
        <v>72</v>
      </c>
      <c r="B1254" s="1" t="s">
        <v>281</v>
      </c>
      <c r="C1254" s="1" t="s">
        <v>73</v>
      </c>
      <c r="D1254" s="9">
        <f>D1255</f>
        <v>67.900000000000006</v>
      </c>
      <c r="E1254" s="9">
        <f>E1255</f>
        <v>67.900000000000006</v>
      </c>
      <c r="F1254" s="9">
        <f t="shared" ref="F1254:G1254" si="682">F1255</f>
        <v>38.02234</v>
      </c>
      <c r="G1254" s="9">
        <f t="shared" si="682"/>
        <v>38.02234</v>
      </c>
      <c r="H1254" s="9">
        <f>H1255</f>
        <v>38.02234</v>
      </c>
      <c r="I1254" s="9">
        <f t="shared" si="644"/>
        <v>55.997555228276873</v>
      </c>
      <c r="J1254" s="9">
        <f t="shared" si="645"/>
        <v>100</v>
      </c>
    </row>
    <row r="1255" spans="1:10">
      <c r="A1255" s="8" t="s">
        <v>74</v>
      </c>
      <c r="B1255" s="1" t="s">
        <v>281</v>
      </c>
      <c r="C1255" s="1" t="s">
        <v>75</v>
      </c>
      <c r="D1255" s="9">
        <f>ведомство!G490</f>
        <v>67.900000000000006</v>
      </c>
      <c r="E1255" s="9">
        <f>ведомство!H490</f>
        <v>67.900000000000006</v>
      </c>
      <c r="F1255" s="9">
        <f>ведомство!I490</f>
        <v>38.02234</v>
      </c>
      <c r="G1255" s="9">
        <f>ведомство!J490</f>
        <v>38.02234</v>
      </c>
      <c r="H1255" s="9">
        <f>ведомство!K490</f>
        <v>38.02234</v>
      </c>
      <c r="I1255" s="9">
        <f t="shared" si="644"/>
        <v>55.997555228276873</v>
      </c>
      <c r="J1255" s="9">
        <f t="shared" si="645"/>
        <v>100</v>
      </c>
    </row>
    <row r="1256" spans="1:10">
      <c r="A1256" s="4" t="s">
        <v>0</v>
      </c>
      <c r="B1256" s="17" t="s">
        <v>0</v>
      </c>
      <c r="C1256" s="5" t="s">
        <v>0</v>
      </c>
      <c r="D1256" s="7" t="s">
        <v>0</v>
      </c>
      <c r="E1256" s="7" t="s">
        <v>0</v>
      </c>
      <c r="F1256" s="7" t="s">
        <v>0</v>
      </c>
      <c r="G1256" s="7" t="s">
        <v>0</v>
      </c>
      <c r="H1256" s="7" t="s">
        <v>0</v>
      </c>
      <c r="I1256" s="7"/>
      <c r="J1256" s="7"/>
    </row>
    <row r="1257" spans="1:10" ht="25.5">
      <c r="A1257" s="4" t="s">
        <v>35</v>
      </c>
      <c r="B1257" s="5" t="s">
        <v>36</v>
      </c>
      <c r="C1257" s="5" t="s">
        <v>0</v>
      </c>
      <c r="D1257" s="7">
        <f>D1258+D1261+D1264+D1267+D1270+D1273</f>
        <v>27289.7</v>
      </c>
      <c r="E1257" s="7">
        <f>E1258+E1261+E1264+E1267+E1270+E1273</f>
        <v>85659.335000000006</v>
      </c>
      <c r="F1257" s="7">
        <f t="shared" ref="F1257:G1257" si="683">F1258+F1261+F1264+F1267+F1270+F1273</f>
        <v>1433.8932299999999</v>
      </c>
      <c r="G1257" s="7">
        <f t="shared" si="683"/>
        <v>1433.8932299999999</v>
      </c>
      <c r="H1257" s="7">
        <f>H1258+H1261+H1264+H1267+H1270+H1273</f>
        <v>1426.3932299999999</v>
      </c>
      <c r="I1257" s="7">
        <f t="shared" si="644"/>
        <v>1.6651929763405233</v>
      </c>
      <c r="J1257" s="7">
        <f t="shared" si="645"/>
        <v>99.47694850334149</v>
      </c>
    </row>
    <row r="1258" spans="1:10" ht="38.25">
      <c r="A1258" s="8" t="s">
        <v>1109</v>
      </c>
      <c r="B1258" s="24" t="s">
        <v>1108</v>
      </c>
      <c r="C1258" s="5"/>
      <c r="D1258" s="22">
        <f>D1259</f>
        <v>0</v>
      </c>
      <c r="E1258" s="22">
        <f>E1259</f>
        <v>59864.9</v>
      </c>
      <c r="F1258" s="22">
        <f t="shared" ref="F1258:G1259" si="684">F1259</f>
        <v>0</v>
      </c>
      <c r="G1258" s="22">
        <f t="shared" si="684"/>
        <v>0</v>
      </c>
      <c r="H1258" s="22">
        <f>H1259</f>
        <v>0</v>
      </c>
      <c r="I1258" s="22">
        <f t="shared" si="644"/>
        <v>0</v>
      </c>
      <c r="J1258" s="22">
        <v>0</v>
      </c>
    </row>
    <row r="1259" spans="1:10" ht="25.5">
      <c r="A1259" s="8" t="s">
        <v>39</v>
      </c>
      <c r="B1259" s="24" t="s">
        <v>1108</v>
      </c>
      <c r="C1259" s="1" t="s">
        <v>40</v>
      </c>
      <c r="D1259" s="22">
        <f>D1260</f>
        <v>0</v>
      </c>
      <c r="E1259" s="22">
        <f>E1260</f>
        <v>59864.9</v>
      </c>
      <c r="F1259" s="22">
        <f t="shared" si="684"/>
        <v>0</v>
      </c>
      <c r="G1259" s="22">
        <f t="shared" si="684"/>
        <v>0</v>
      </c>
      <c r="H1259" s="22">
        <f>H1260</f>
        <v>0</v>
      </c>
      <c r="I1259" s="22">
        <f t="shared" si="644"/>
        <v>0</v>
      </c>
      <c r="J1259" s="22">
        <v>0</v>
      </c>
    </row>
    <row r="1260" spans="1:10">
      <c r="A1260" s="8" t="s">
        <v>41</v>
      </c>
      <c r="B1260" s="24" t="s">
        <v>1108</v>
      </c>
      <c r="C1260" s="1" t="s">
        <v>42</v>
      </c>
      <c r="D1260" s="22">
        <f>ведомство!G23</f>
        <v>0</v>
      </c>
      <c r="E1260" s="22">
        <f>ведомство!H23</f>
        <v>59864.9</v>
      </c>
      <c r="F1260" s="22">
        <f>ведомство!I23</f>
        <v>0</v>
      </c>
      <c r="G1260" s="22">
        <f>ведомство!J23</f>
        <v>0</v>
      </c>
      <c r="H1260" s="22">
        <f>ведомство!K23</f>
        <v>0</v>
      </c>
      <c r="I1260" s="22">
        <f t="shared" si="644"/>
        <v>0</v>
      </c>
      <c r="J1260" s="22">
        <v>0</v>
      </c>
    </row>
    <row r="1261" spans="1:10" ht="25.5">
      <c r="A1261" s="8" t="s">
        <v>236</v>
      </c>
      <c r="B1261" s="1" t="s">
        <v>237</v>
      </c>
      <c r="C1261" s="1" t="s">
        <v>0</v>
      </c>
      <c r="D1261" s="9">
        <f>D1262</f>
        <v>14952.7</v>
      </c>
      <c r="E1261" s="9">
        <f>E1262</f>
        <v>13457.4</v>
      </c>
      <c r="F1261" s="9">
        <f t="shared" ref="F1261:G1262" si="685">F1262</f>
        <v>570.79999999999995</v>
      </c>
      <c r="G1261" s="9">
        <f t="shared" si="685"/>
        <v>570.79999999999995</v>
      </c>
      <c r="H1261" s="9">
        <f>H1262</f>
        <v>563.29999999999995</v>
      </c>
      <c r="I1261" s="9">
        <f t="shared" si="644"/>
        <v>4.1858011205730676</v>
      </c>
      <c r="J1261" s="9">
        <f t="shared" ref="J1261:J1269" si="686">H1261/F1261*100</f>
        <v>98.686054660126146</v>
      </c>
    </row>
    <row r="1262" spans="1:10" ht="25.5">
      <c r="A1262" s="8" t="s">
        <v>64</v>
      </c>
      <c r="B1262" s="1" t="s">
        <v>237</v>
      </c>
      <c r="C1262" s="1" t="s">
        <v>65</v>
      </c>
      <c r="D1262" s="9">
        <f>D1263</f>
        <v>14952.7</v>
      </c>
      <c r="E1262" s="9">
        <f>E1263</f>
        <v>13457.4</v>
      </c>
      <c r="F1262" s="9">
        <f t="shared" si="685"/>
        <v>570.79999999999995</v>
      </c>
      <c r="G1262" s="9">
        <f t="shared" si="685"/>
        <v>570.79999999999995</v>
      </c>
      <c r="H1262" s="9">
        <f>H1263</f>
        <v>563.29999999999995</v>
      </c>
      <c r="I1262" s="9">
        <f t="shared" si="644"/>
        <v>4.1858011205730676</v>
      </c>
      <c r="J1262" s="9">
        <f t="shared" si="686"/>
        <v>98.686054660126146</v>
      </c>
    </row>
    <row r="1263" spans="1:10" ht="25.5">
      <c r="A1263" s="8" t="s">
        <v>66</v>
      </c>
      <c r="B1263" s="1" t="s">
        <v>237</v>
      </c>
      <c r="C1263" s="1" t="s">
        <v>67</v>
      </c>
      <c r="D1263" s="9">
        <f>ведомство!G398</f>
        <v>14952.7</v>
      </c>
      <c r="E1263" s="9">
        <f>ведомство!H398</f>
        <v>13457.4</v>
      </c>
      <c r="F1263" s="9">
        <f>ведомство!I398</f>
        <v>570.79999999999995</v>
      </c>
      <c r="G1263" s="9">
        <f>ведомство!J398</f>
        <v>570.79999999999995</v>
      </c>
      <c r="H1263" s="9">
        <f>ведомство!K398</f>
        <v>563.29999999999995</v>
      </c>
      <c r="I1263" s="9">
        <f t="shared" si="644"/>
        <v>4.1858011205730676</v>
      </c>
      <c r="J1263" s="9">
        <f t="shared" si="686"/>
        <v>98.686054660126146</v>
      </c>
    </row>
    <row r="1264" spans="1:10" ht="38.25">
      <c r="A1264" s="8" t="s">
        <v>37</v>
      </c>
      <c r="B1264" s="1" t="s">
        <v>38</v>
      </c>
      <c r="C1264" s="1" t="s">
        <v>0</v>
      </c>
      <c r="D1264" s="9">
        <f>D1265</f>
        <v>1000</v>
      </c>
      <c r="E1264" s="9">
        <f>E1265</f>
        <v>1000</v>
      </c>
      <c r="F1264" s="9">
        <f t="shared" ref="F1264:G1265" si="687">F1265</f>
        <v>178.09155999999999</v>
      </c>
      <c r="G1264" s="9">
        <f t="shared" si="687"/>
        <v>178.09155999999999</v>
      </c>
      <c r="H1264" s="9">
        <f>H1265</f>
        <v>178.09155999999999</v>
      </c>
      <c r="I1264" s="9">
        <f t="shared" si="644"/>
        <v>17.809155999999998</v>
      </c>
      <c r="J1264" s="9">
        <f t="shared" si="686"/>
        <v>100</v>
      </c>
    </row>
    <row r="1265" spans="1:10" ht="25.5">
      <c r="A1265" s="8" t="s">
        <v>39</v>
      </c>
      <c r="B1265" s="1" t="s">
        <v>38</v>
      </c>
      <c r="C1265" s="1" t="s">
        <v>40</v>
      </c>
      <c r="D1265" s="9">
        <f>D1266</f>
        <v>1000</v>
      </c>
      <c r="E1265" s="9">
        <f>E1266</f>
        <v>1000</v>
      </c>
      <c r="F1265" s="9">
        <f t="shared" si="687"/>
        <v>178.09155999999999</v>
      </c>
      <c r="G1265" s="9">
        <f t="shared" si="687"/>
        <v>178.09155999999999</v>
      </c>
      <c r="H1265" s="9">
        <f>H1266</f>
        <v>178.09155999999999</v>
      </c>
      <c r="I1265" s="9">
        <f t="shared" si="644"/>
        <v>17.809155999999998</v>
      </c>
      <c r="J1265" s="9">
        <f t="shared" si="686"/>
        <v>100</v>
      </c>
    </row>
    <row r="1266" spans="1:10">
      <c r="A1266" s="8" t="s">
        <v>41</v>
      </c>
      <c r="B1266" s="1" t="s">
        <v>38</v>
      </c>
      <c r="C1266" s="1" t="s">
        <v>42</v>
      </c>
      <c r="D1266" s="9">
        <f>ведомство!G26</f>
        <v>1000</v>
      </c>
      <c r="E1266" s="9">
        <f>ведомство!H26</f>
        <v>1000</v>
      </c>
      <c r="F1266" s="9">
        <f>ведомство!I26</f>
        <v>178.09155999999999</v>
      </c>
      <c r="G1266" s="9">
        <f>ведомство!J26</f>
        <v>178.09155999999999</v>
      </c>
      <c r="H1266" s="9">
        <f>ведомство!K26</f>
        <v>178.09155999999999</v>
      </c>
      <c r="I1266" s="9">
        <f t="shared" si="644"/>
        <v>17.809155999999998</v>
      </c>
      <c r="J1266" s="9">
        <f t="shared" si="686"/>
        <v>100</v>
      </c>
    </row>
    <row r="1267" spans="1:10">
      <c r="A1267" s="8" t="s">
        <v>238</v>
      </c>
      <c r="B1267" s="1" t="s">
        <v>239</v>
      </c>
      <c r="C1267" s="1" t="s">
        <v>0</v>
      </c>
      <c r="D1267" s="9">
        <f>D1268</f>
        <v>3685.3</v>
      </c>
      <c r="E1267" s="9">
        <f>E1268</f>
        <v>3685.335</v>
      </c>
      <c r="F1267" s="9">
        <f t="shared" ref="F1267:G1268" si="688">F1268</f>
        <v>685.00166999999999</v>
      </c>
      <c r="G1267" s="9">
        <f t="shared" si="688"/>
        <v>685.00166999999999</v>
      </c>
      <c r="H1267" s="9">
        <f>H1268</f>
        <v>685.00166999999999</v>
      </c>
      <c r="I1267" s="9">
        <f t="shared" ref="I1267:I1354" si="689">H1267/E1267*100</f>
        <v>18.587229383488882</v>
      </c>
      <c r="J1267" s="9">
        <f t="shared" si="686"/>
        <v>100</v>
      </c>
    </row>
    <row r="1268" spans="1:10" ht="25.5">
      <c r="A1268" s="8" t="s">
        <v>64</v>
      </c>
      <c r="B1268" s="1" t="s">
        <v>239</v>
      </c>
      <c r="C1268" s="1" t="s">
        <v>65</v>
      </c>
      <c r="D1268" s="9">
        <f>D1269</f>
        <v>3685.3</v>
      </c>
      <c r="E1268" s="9">
        <f>E1269</f>
        <v>3685.335</v>
      </c>
      <c r="F1268" s="9">
        <f t="shared" si="688"/>
        <v>685.00166999999999</v>
      </c>
      <c r="G1268" s="9">
        <f t="shared" si="688"/>
        <v>685.00166999999999</v>
      </c>
      <c r="H1268" s="9">
        <f>H1269</f>
        <v>685.00166999999999</v>
      </c>
      <c r="I1268" s="9">
        <f t="shared" si="689"/>
        <v>18.587229383488882</v>
      </c>
      <c r="J1268" s="9">
        <f t="shared" si="686"/>
        <v>100</v>
      </c>
    </row>
    <row r="1269" spans="1:10" ht="25.5">
      <c r="A1269" s="8" t="s">
        <v>66</v>
      </c>
      <c r="B1269" s="1" t="s">
        <v>239</v>
      </c>
      <c r="C1269" s="1" t="s">
        <v>67</v>
      </c>
      <c r="D1269" s="9">
        <f>ведомство!G401</f>
        <v>3685.3</v>
      </c>
      <c r="E1269" s="9">
        <f>ведомство!H401</f>
        <v>3685.335</v>
      </c>
      <c r="F1269" s="9">
        <f>ведомство!I401</f>
        <v>685.00166999999999</v>
      </c>
      <c r="G1269" s="9">
        <f>ведомство!J401</f>
        <v>685.00166999999999</v>
      </c>
      <c r="H1269" s="9">
        <f>ведомство!K401</f>
        <v>685.00166999999999</v>
      </c>
      <c r="I1269" s="9">
        <f t="shared" si="689"/>
        <v>18.587229383488882</v>
      </c>
      <c r="J1269" s="9">
        <f t="shared" si="686"/>
        <v>100</v>
      </c>
    </row>
    <row r="1270" spans="1:10">
      <c r="A1270" s="8" t="s">
        <v>240</v>
      </c>
      <c r="B1270" s="1" t="s">
        <v>241</v>
      </c>
      <c r="C1270" s="1" t="s">
        <v>0</v>
      </c>
      <c r="D1270" s="9">
        <f>D1271</f>
        <v>1000</v>
      </c>
      <c r="E1270" s="9">
        <f>E1271</f>
        <v>1000</v>
      </c>
      <c r="F1270" s="9">
        <f t="shared" ref="F1270:G1271" si="690">F1271</f>
        <v>0</v>
      </c>
      <c r="G1270" s="9">
        <f t="shared" si="690"/>
        <v>0</v>
      </c>
      <c r="H1270" s="9">
        <f>H1271</f>
        <v>0</v>
      </c>
      <c r="I1270" s="9">
        <f t="shared" si="689"/>
        <v>0</v>
      </c>
      <c r="J1270" s="9">
        <v>0</v>
      </c>
    </row>
    <row r="1271" spans="1:10">
      <c r="A1271" s="8" t="s">
        <v>26</v>
      </c>
      <c r="B1271" s="1" t="s">
        <v>241</v>
      </c>
      <c r="C1271" s="1" t="s">
        <v>27</v>
      </c>
      <c r="D1271" s="9">
        <f>D1272</f>
        <v>1000</v>
      </c>
      <c r="E1271" s="9">
        <f>E1272</f>
        <v>1000</v>
      </c>
      <c r="F1271" s="9">
        <f t="shared" si="690"/>
        <v>0</v>
      </c>
      <c r="G1271" s="9">
        <f t="shared" si="690"/>
        <v>0</v>
      </c>
      <c r="H1271" s="9">
        <f>H1272</f>
        <v>0</v>
      </c>
      <c r="I1271" s="9">
        <f t="shared" si="689"/>
        <v>0</v>
      </c>
      <c r="J1271" s="9">
        <v>0</v>
      </c>
    </row>
    <row r="1272" spans="1:10">
      <c r="A1272" s="8" t="s">
        <v>56</v>
      </c>
      <c r="B1272" s="1" t="s">
        <v>241</v>
      </c>
      <c r="C1272" s="1" t="s">
        <v>57</v>
      </c>
      <c r="D1272" s="9">
        <f>ведомство!G404</f>
        <v>1000</v>
      </c>
      <c r="E1272" s="9">
        <f>ведомство!H404</f>
        <v>1000</v>
      </c>
      <c r="F1272" s="9">
        <f>ведомство!I404</f>
        <v>0</v>
      </c>
      <c r="G1272" s="9">
        <f>ведомство!J404</f>
        <v>0</v>
      </c>
      <c r="H1272" s="9">
        <f>ведомство!K404</f>
        <v>0</v>
      </c>
      <c r="I1272" s="9">
        <f t="shared" si="689"/>
        <v>0</v>
      </c>
      <c r="J1272" s="9">
        <v>0</v>
      </c>
    </row>
    <row r="1273" spans="1:10" ht="38.25">
      <c r="A1273" s="8" t="s">
        <v>43</v>
      </c>
      <c r="B1273" s="1" t="s">
        <v>44</v>
      </c>
      <c r="C1273" s="1" t="s">
        <v>0</v>
      </c>
      <c r="D1273" s="9">
        <f>D1274</f>
        <v>6651.7</v>
      </c>
      <c r="E1273" s="9">
        <f>E1274</f>
        <v>6651.7</v>
      </c>
      <c r="F1273" s="9">
        <f t="shared" ref="F1273:G1274" si="691">F1274</f>
        <v>0</v>
      </c>
      <c r="G1273" s="9">
        <f t="shared" si="691"/>
        <v>0</v>
      </c>
      <c r="H1273" s="9">
        <f>H1274</f>
        <v>0</v>
      </c>
      <c r="I1273" s="9">
        <f t="shared" si="689"/>
        <v>0</v>
      </c>
      <c r="J1273" s="9">
        <v>0</v>
      </c>
    </row>
    <row r="1274" spans="1:10" ht="25.5">
      <c r="A1274" s="8" t="s">
        <v>39</v>
      </c>
      <c r="B1274" s="1" t="s">
        <v>44</v>
      </c>
      <c r="C1274" s="1" t="s">
        <v>40</v>
      </c>
      <c r="D1274" s="9">
        <f>D1275</f>
        <v>6651.7</v>
      </c>
      <c r="E1274" s="9">
        <f>E1275</f>
        <v>6651.7</v>
      </c>
      <c r="F1274" s="9">
        <f t="shared" si="691"/>
        <v>0</v>
      </c>
      <c r="G1274" s="9">
        <f t="shared" si="691"/>
        <v>0</v>
      </c>
      <c r="H1274" s="9">
        <f>H1275</f>
        <v>0</v>
      </c>
      <c r="I1274" s="9">
        <f t="shared" si="689"/>
        <v>0</v>
      </c>
      <c r="J1274" s="9">
        <v>0</v>
      </c>
    </row>
    <row r="1275" spans="1:10">
      <c r="A1275" s="8" t="s">
        <v>41</v>
      </c>
      <c r="B1275" s="1" t="s">
        <v>44</v>
      </c>
      <c r="C1275" s="1" t="s">
        <v>42</v>
      </c>
      <c r="D1275" s="9">
        <f>ведомство!G29</f>
        <v>6651.7</v>
      </c>
      <c r="E1275" s="9">
        <f>ведомство!H29</f>
        <v>6651.7</v>
      </c>
      <c r="F1275" s="9">
        <f>ведомство!I29</f>
        <v>0</v>
      </c>
      <c r="G1275" s="9">
        <f>ведомство!J29</f>
        <v>0</v>
      </c>
      <c r="H1275" s="9">
        <f>ведомство!K29</f>
        <v>0</v>
      </c>
      <c r="I1275" s="9">
        <f t="shared" si="689"/>
        <v>0</v>
      </c>
      <c r="J1275" s="9">
        <v>0</v>
      </c>
    </row>
    <row r="1276" spans="1:10">
      <c r="A1276" s="4" t="s">
        <v>0</v>
      </c>
      <c r="B1276" s="17" t="s">
        <v>0</v>
      </c>
      <c r="C1276" s="5" t="s">
        <v>0</v>
      </c>
      <c r="D1276" s="7" t="s">
        <v>0</v>
      </c>
      <c r="E1276" s="7" t="s">
        <v>0</v>
      </c>
      <c r="F1276" s="7" t="s">
        <v>0</v>
      </c>
      <c r="G1276" s="7" t="s">
        <v>0</v>
      </c>
      <c r="H1276" s="7" t="s">
        <v>0</v>
      </c>
      <c r="I1276" s="7"/>
      <c r="J1276" s="7"/>
    </row>
    <row r="1277" spans="1:10" ht="63.75">
      <c r="A1277" s="4" t="s">
        <v>156</v>
      </c>
      <c r="B1277" s="5" t="s">
        <v>157</v>
      </c>
      <c r="C1277" s="5" t="s">
        <v>0</v>
      </c>
      <c r="D1277" s="7">
        <f>D1278+D1331+D1344+D1358</f>
        <v>636136.80000000005</v>
      </c>
      <c r="E1277" s="7">
        <f>E1278+E1331+E1344+E1358</f>
        <v>641319.47424999997</v>
      </c>
      <c r="F1277" s="7">
        <f t="shared" ref="F1277:G1277" si="692">F1278+F1331+F1344+F1358</f>
        <v>518212.74826999998</v>
      </c>
      <c r="G1277" s="7">
        <f t="shared" si="692"/>
        <v>516212.74826999998</v>
      </c>
      <c r="H1277" s="7">
        <f>H1278+H1331+H1344+H1358</f>
        <v>504740.35796999995</v>
      </c>
      <c r="I1277" s="7">
        <f t="shared" si="689"/>
        <v>78.703419783139381</v>
      </c>
      <c r="J1277" s="7">
        <f t="shared" ref="J1277:J1354" si="693">H1277/F1277*100</f>
        <v>97.400220209754352</v>
      </c>
    </row>
    <row r="1278" spans="1:10">
      <c r="A1278" s="4" t="s">
        <v>158</v>
      </c>
      <c r="B1278" s="5" t="s">
        <v>159</v>
      </c>
      <c r="C1278" s="5" t="s">
        <v>0</v>
      </c>
      <c r="D1278" s="7">
        <f>D1282+D1285+D1291+D1294+D1297+D1300+D1309+D1315+D1318+D1321+D1324+D1327+D1288+D1312</f>
        <v>502534.3</v>
      </c>
      <c r="E1278" s="7">
        <f>E1282+E1285+E1291+E1294+E1297+E1300+E1309+E1315+E1318+E1321+E1324+E1327+E1288+E1312+E1279</f>
        <v>514200.96416999999</v>
      </c>
      <c r="F1278" s="7">
        <f t="shared" ref="F1278:G1278" si="694">F1282+F1285+F1291+F1294+F1297+F1300+F1309+F1315+F1318+F1321+F1324+F1327+F1288+F1312+F1279</f>
        <v>408487.29826999997</v>
      </c>
      <c r="G1278" s="7">
        <f t="shared" si="694"/>
        <v>406487.29826999997</v>
      </c>
      <c r="H1278" s="7">
        <f>H1282+H1285+H1291+H1294+H1297+H1300+H1309+H1315+H1318+H1321+H1324+H1327+H1288+H1312+H1279</f>
        <v>399845.11755999998</v>
      </c>
      <c r="I1278" s="7">
        <f t="shared" si="689"/>
        <v>77.760476043721923</v>
      </c>
      <c r="J1278" s="7">
        <f t="shared" si="693"/>
        <v>97.88434530361144</v>
      </c>
    </row>
    <row r="1279" spans="1:10" s="92" customFormat="1" ht="25.5">
      <c r="A1279" s="59" t="s">
        <v>1257</v>
      </c>
      <c r="B1279" s="29" t="s">
        <v>1273</v>
      </c>
      <c r="C1279" s="58"/>
      <c r="D1279" s="7"/>
      <c r="E1279" s="22">
        <f>E1280</f>
        <v>11666.7</v>
      </c>
      <c r="F1279" s="22">
        <f t="shared" ref="F1279:G1280" si="695">F1280</f>
        <v>6009.96</v>
      </c>
      <c r="G1279" s="22">
        <f t="shared" si="695"/>
        <v>6009.96</v>
      </c>
      <c r="H1279" s="22">
        <f>H1280</f>
        <v>6009.96</v>
      </c>
      <c r="I1279" s="22">
        <f t="shared" ref="I1279:I1281" si="696">H1279/E1279*100</f>
        <v>51.513795674869499</v>
      </c>
      <c r="J1279" s="22">
        <f t="shared" ref="J1279:J1281" si="697">H1279/F1279*100</f>
        <v>100</v>
      </c>
    </row>
    <row r="1280" spans="1:10" s="92" customFormat="1" ht="25.5">
      <c r="A1280" s="59" t="s">
        <v>80</v>
      </c>
      <c r="B1280" s="29" t="s">
        <v>1273</v>
      </c>
      <c r="C1280" s="28">
        <v>600</v>
      </c>
      <c r="D1280" s="7"/>
      <c r="E1280" s="22">
        <f>E1281</f>
        <v>11666.7</v>
      </c>
      <c r="F1280" s="22">
        <f t="shared" si="695"/>
        <v>6009.96</v>
      </c>
      <c r="G1280" s="22">
        <f t="shared" si="695"/>
        <v>6009.96</v>
      </c>
      <c r="H1280" s="22">
        <f>H1281</f>
        <v>6009.96</v>
      </c>
      <c r="I1280" s="22">
        <f t="shared" si="696"/>
        <v>51.513795674869499</v>
      </c>
      <c r="J1280" s="22">
        <f t="shared" si="697"/>
        <v>100</v>
      </c>
    </row>
    <row r="1281" spans="1:10" s="92" customFormat="1">
      <c r="A1281" s="59" t="s">
        <v>82</v>
      </c>
      <c r="B1281" s="29" t="s">
        <v>1273</v>
      </c>
      <c r="C1281" s="28">
        <v>620</v>
      </c>
      <c r="D1281" s="7"/>
      <c r="E1281" s="22">
        <f>ведомство!H2370</f>
        <v>11666.7</v>
      </c>
      <c r="F1281" s="22">
        <f>ведомство!I2370</f>
        <v>6009.96</v>
      </c>
      <c r="G1281" s="22">
        <f>ведомство!J2370</f>
        <v>6009.96</v>
      </c>
      <c r="H1281" s="22">
        <f>ведомство!K2370</f>
        <v>6009.96</v>
      </c>
      <c r="I1281" s="22">
        <f t="shared" si="696"/>
        <v>51.513795674869499</v>
      </c>
      <c r="J1281" s="22">
        <f t="shared" si="697"/>
        <v>100</v>
      </c>
    </row>
    <row r="1282" spans="1:10" ht="38.25">
      <c r="A1282" s="8" t="s">
        <v>932</v>
      </c>
      <c r="B1282" s="1" t="s">
        <v>933</v>
      </c>
      <c r="C1282" s="1" t="s">
        <v>0</v>
      </c>
      <c r="D1282" s="9">
        <f>D1283</f>
        <v>6286.2</v>
      </c>
      <c r="E1282" s="9">
        <f>E1283</f>
        <v>6286.2</v>
      </c>
      <c r="F1282" s="9">
        <f t="shared" ref="F1282:G1283" si="698">F1283</f>
        <v>6286.2</v>
      </c>
      <c r="G1282" s="9">
        <f t="shared" si="698"/>
        <v>6286.2</v>
      </c>
      <c r="H1282" s="9">
        <f>H1283</f>
        <v>6286.2</v>
      </c>
      <c r="I1282" s="9">
        <f t="shared" si="689"/>
        <v>100</v>
      </c>
      <c r="J1282" s="9">
        <f t="shared" si="693"/>
        <v>100</v>
      </c>
    </row>
    <row r="1283" spans="1:10" ht="25.5">
      <c r="A1283" s="8" t="s">
        <v>80</v>
      </c>
      <c r="B1283" s="1" t="s">
        <v>933</v>
      </c>
      <c r="C1283" s="1" t="s">
        <v>81</v>
      </c>
      <c r="D1283" s="9">
        <f>D1284</f>
        <v>6286.2</v>
      </c>
      <c r="E1283" s="9">
        <f>E1284</f>
        <v>6286.2</v>
      </c>
      <c r="F1283" s="9">
        <f t="shared" si="698"/>
        <v>6286.2</v>
      </c>
      <c r="G1283" s="9">
        <f t="shared" si="698"/>
        <v>6286.2</v>
      </c>
      <c r="H1283" s="9">
        <f>H1284</f>
        <v>6286.2</v>
      </c>
      <c r="I1283" s="9">
        <f t="shared" si="689"/>
        <v>100</v>
      </c>
      <c r="J1283" s="9">
        <f t="shared" si="693"/>
        <v>100</v>
      </c>
    </row>
    <row r="1284" spans="1:10">
      <c r="A1284" s="8" t="s">
        <v>82</v>
      </c>
      <c r="B1284" s="1" t="s">
        <v>933</v>
      </c>
      <c r="C1284" s="1" t="s">
        <v>83</v>
      </c>
      <c r="D1284" s="9">
        <f>ведомство!G2408</f>
        <v>6286.2</v>
      </c>
      <c r="E1284" s="9">
        <f>ведомство!H2408</f>
        <v>6286.2</v>
      </c>
      <c r="F1284" s="9">
        <f>ведомство!I2408</f>
        <v>6286.2</v>
      </c>
      <c r="G1284" s="9">
        <f>ведомство!J2408</f>
        <v>6286.2</v>
      </c>
      <c r="H1284" s="9">
        <f>ведомство!K2408</f>
        <v>6286.2</v>
      </c>
      <c r="I1284" s="9">
        <f t="shared" si="689"/>
        <v>100</v>
      </c>
      <c r="J1284" s="9">
        <f t="shared" si="693"/>
        <v>100</v>
      </c>
    </row>
    <row r="1285" spans="1:10" ht="38.25">
      <c r="A1285" s="8" t="s">
        <v>926</v>
      </c>
      <c r="B1285" s="1" t="s">
        <v>927</v>
      </c>
      <c r="C1285" s="1" t="s">
        <v>0</v>
      </c>
      <c r="D1285" s="9">
        <f>D1286</f>
        <v>1680.1</v>
      </c>
      <c r="E1285" s="9">
        <f>E1286</f>
        <v>1680.1</v>
      </c>
      <c r="F1285" s="9">
        <f t="shared" ref="F1285:G1286" si="699">F1286</f>
        <v>1680.1</v>
      </c>
      <c r="G1285" s="9">
        <f t="shared" si="699"/>
        <v>1680.1</v>
      </c>
      <c r="H1285" s="9">
        <f>H1286</f>
        <v>1680.1</v>
      </c>
      <c r="I1285" s="9">
        <f t="shared" si="689"/>
        <v>100</v>
      </c>
      <c r="J1285" s="9">
        <f t="shared" si="693"/>
        <v>100</v>
      </c>
    </row>
    <row r="1286" spans="1:10" ht="25.5">
      <c r="A1286" s="8" t="s">
        <v>80</v>
      </c>
      <c r="B1286" s="1" t="s">
        <v>927</v>
      </c>
      <c r="C1286" s="1" t="s">
        <v>81</v>
      </c>
      <c r="D1286" s="9">
        <f>D1287</f>
        <v>1680.1</v>
      </c>
      <c r="E1286" s="9">
        <f>E1287</f>
        <v>1680.1</v>
      </c>
      <c r="F1286" s="9">
        <f t="shared" si="699"/>
        <v>1680.1</v>
      </c>
      <c r="G1286" s="9">
        <f t="shared" si="699"/>
        <v>1680.1</v>
      </c>
      <c r="H1286" s="9">
        <f>H1287</f>
        <v>1680.1</v>
      </c>
      <c r="I1286" s="9">
        <f t="shared" si="689"/>
        <v>100</v>
      </c>
      <c r="J1286" s="9">
        <f t="shared" si="693"/>
        <v>100</v>
      </c>
    </row>
    <row r="1287" spans="1:10">
      <c r="A1287" s="8" t="s">
        <v>82</v>
      </c>
      <c r="B1287" s="1" t="s">
        <v>927</v>
      </c>
      <c r="C1287" s="1" t="s">
        <v>83</v>
      </c>
      <c r="D1287" s="9">
        <f>ведомство!G2373</f>
        <v>1680.1</v>
      </c>
      <c r="E1287" s="9">
        <f>ведомство!H2373</f>
        <v>1680.1</v>
      </c>
      <c r="F1287" s="9">
        <f>ведомство!I2373</f>
        <v>1680.1</v>
      </c>
      <c r="G1287" s="9">
        <f>ведомство!J2373</f>
        <v>1680.1</v>
      </c>
      <c r="H1287" s="9">
        <f>ведомство!K2373</f>
        <v>1680.1</v>
      </c>
      <c r="I1287" s="9">
        <f t="shared" si="689"/>
        <v>100</v>
      </c>
      <c r="J1287" s="9">
        <f t="shared" si="693"/>
        <v>100</v>
      </c>
    </row>
    <row r="1288" spans="1:10" s="42" customFormat="1" ht="38.25">
      <c r="A1288" s="25" t="s">
        <v>1184</v>
      </c>
      <c r="B1288" s="24" t="s">
        <v>1183</v>
      </c>
      <c r="C1288" s="1"/>
      <c r="D1288" s="9">
        <f>D1289</f>
        <v>20357.5</v>
      </c>
      <c r="E1288" s="9">
        <f>E1289</f>
        <v>20357.5</v>
      </c>
      <c r="F1288" s="9">
        <f t="shared" ref="F1288:G1289" si="700">F1289</f>
        <v>14057.5</v>
      </c>
      <c r="G1288" s="9">
        <f t="shared" si="700"/>
        <v>14057.5</v>
      </c>
      <c r="H1288" s="9">
        <f>H1289</f>
        <v>14057.5</v>
      </c>
      <c r="I1288" s="9">
        <f t="shared" ref="I1288:I1290" si="701">H1288/E1288*100</f>
        <v>69.05317450571043</v>
      </c>
      <c r="J1288" s="9">
        <f t="shared" si="693"/>
        <v>100</v>
      </c>
    </row>
    <row r="1289" spans="1:10" s="42" customFormat="1">
      <c r="A1289" s="25" t="s">
        <v>26</v>
      </c>
      <c r="B1289" s="24" t="s">
        <v>1183</v>
      </c>
      <c r="C1289" s="1">
        <v>500</v>
      </c>
      <c r="D1289" s="9">
        <f>D1290</f>
        <v>20357.5</v>
      </c>
      <c r="E1289" s="9">
        <f>E1290</f>
        <v>20357.5</v>
      </c>
      <c r="F1289" s="9">
        <f t="shared" si="700"/>
        <v>14057.5</v>
      </c>
      <c r="G1289" s="9">
        <f t="shared" si="700"/>
        <v>14057.5</v>
      </c>
      <c r="H1289" s="9">
        <f>H1290</f>
        <v>14057.5</v>
      </c>
      <c r="I1289" s="9">
        <f t="shared" si="701"/>
        <v>69.05317450571043</v>
      </c>
      <c r="J1289" s="9">
        <f t="shared" si="693"/>
        <v>100</v>
      </c>
    </row>
    <row r="1290" spans="1:10" s="42" customFormat="1">
      <c r="A1290" s="25" t="s">
        <v>56</v>
      </c>
      <c r="B1290" s="24" t="s">
        <v>1183</v>
      </c>
      <c r="C1290" s="1">
        <v>520</v>
      </c>
      <c r="D1290" s="9">
        <f>ведомство!G2376</f>
        <v>20357.5</v>
      </c>
      <c r="E1290" s="9">
        <f>ведомство!H2376</f>
        <v>20357.5</v>
      </c>
      <c r="F1290" s="9">
        <f>ведомство!I2376</f>
        <v>14057.5</v>
      </c>
      <c r="G1290" s="9">
        <f>ведомство!J2376</f>
        <v>14057.5</v>
      </c>
      <c r="H1290" s="9">
        <f>ведомство!K2376</f>
        <v>14057.5</v>
      </c>
      <c r="I1290" s="9">
        <f t="shared" si="701"/>
        <v>69.05317450571043</v>
      </c>
      <c r="J1290" s="9">
        <f t="shared" si="693"/>
        <v>100</v>
      </c>
    </row>
    <row r="1291" spans="1:10" ht="25.5">
      <c r="A1291" s="8" t="s">
        <v>76</v>
      </c>
      <c r="B1291" s="1" t="s">
        <v>934</v>
      </c>
      <c r="C1291" s="1" t="s">
        <v>0</v>
      </c>
      <c r="D1291" s="9">
        <f>D1292</f>
        <v>310761.40000000002</v>
      </c>
      <c r="E1291" s="9">
        <f>E1292</f>
        <v>301347.40000000002</v>
      </c>
      <c r="F1291" s="9">
        <f t="shared" ref="F1291:G1292" si="702">F1292</f>
        <v>228180</v>
      </c>
      <c r="G1291" s="9">
        <f t="shared" si="702"/>
        <v>228180</v>
      </c>
      <c r="H1291" s="9">
        <f>H1292</f>
        <v>228180</v>
      </c>
      <c r="I1291" s="9">
        <f t="shared" si="689"/>
        <v>75.719916614512016</v>
      </c>
      <c r="J1291" s="9">
        <f t="shared" si="693"/>
        <v>100</v>
      </c>
    </row>
    <row r="1292" spans="1:10" ht="25.5">
      <c r="A1292" s="8" t="s">
        <v>80</v>
      </c>
      <c r="B1292" s="1" t="s">
        <v>934</v>
      </c>
      <c r="C1292" s="1" t="s">
        <v>81</v>
      </c>
      <c r="D1292" s="9">
        <f>D1293</f>
        <v>310761.40000000002</v>
      </c>
      <c r="E1292" s="9">
        <f>E1293</f>
        <v>301347.40000000002</v>
      </c>
      <c r="F1292" s="9">
        <f t="shared" si="702"/>
        <v>228180</v>
      </c>
      <c r="G1292" s="9">
        <f t="shared" si="702"/>
        <v>228180</v>
      </c>
      <c r="H1292" s="9">
        <f>H1293</f>
        <v>228180</v>
      </c>
      <c r="I1292" s="9">
        <f t="shared" si="689"/>
        <v>75.719916614512016</v>
      </c>
      <c r="J1292" s="9">
        <f t="shared" si="693"/>
        <v>100</v>
      </c>
    </row>
    <row r="1293" spans="1:10">
      <c r="A1293" s="8" t="s">
        <v>82</v>
      </c>
      <c r="B1293" s="1" t="s">
        <v>934</v>
      </c>
      <c r="C1293" s="1" t="s">
        <v>83</v>
      </c>
      <c r="D1293" s="9">
        <f>ведомство!G2411</f>
        <v>310761.40000000002</v>
      </c>
      <c r="E1293" s="9">
        <f>ведомство!H2411</f>
        <v>301347.40000000002</v>
      </c>
      <c r="F1293" s="9">
        <f>ведомство!I2411</f>
        <v>228180</v>
      </c>
      <c r="G1293" s="9">
        <f>ведомство!J2411</f>
        <v>228180</v>
      </c>
      <c r="H1293" s="9">
        <f>ведомство!K2411</f>
        <v>228180</v>
      </c>
      <c r="I1293" s="9">
        <f t="shared" si="689"/>
        <v>75.719916614512016</v>
      </c>
      <c r="J1293" s="9">
        <f t="shared" si="693"/>
        <v>100</v>
      </c>
    </row>
    <row r="1294" spans="1:10" ht="38.25">
      <c r="A1294" s="8" t="s">
        <v>37</v>
      </c>
      <c r="B1294" s="1" t="s">
        <v>160</v>
      </c>
      <c r="C1294" s="1" t="s">
        <v>0</v>
      </c>
      <c r="D1294" s="9">
        <f>D1295</f>
        <v>60000</v>
      </c>
      <c r="E1294" s="9">
        <f>E1295</f>
        <v>60000</v>
      </c>
      <c r="F1294" s="9">
        <f t="shared" ref="F1294:G1295" si="703">F1295</f>
        <v>51011.65494</v>
      </c>
      <c r="G1294" s="9">
        <f t="shared" si="703"/>
        <v>51011.65494</v>
      </c>
      <c r="H1294" s="9">
        <f>H1295</f>
        <v>51011.65494</v>
      </c>
      <c r="I1294" s="9">
        <f t="shared" si="689"/>
        <v>85.01942489999999</v>
      </c>
      <c r="J1294" s="9">
        <f t="shared" si="693"/>
        <v>100</v>
      </c>
    </row>
    <row r="1295" spans="1:10" ht="25.5">
      <c r="A1295" s="8" t="s">
        <v>39</v>
      </c>
      <c r="B1295" s="1" t="s">
        <v>160</v>
      </c>
      <c r="C1295" s="1" t="s">
        <v>40</v>
      </c>
      <c r="D1295" s="9">
        <f>D1296</f>
        <v>60000</v>
      </c>
      <c r="E1295" s="9">
        <f>E1296</f>
        <v>60000</v>
      </c>
      <c r="F1295" s="9">
        <f t="shared" si="703"/>
        <v>51011.65494</v>
      </c>
      <c r="G1295" s="9">
        <f t="shared" si="703"/>
        <v>51011.65494</v>
      </c>
      <c r="H1295" s="9">
        <f>H1296</f>
        <v>51011.65494</v>
      </c>
      <c r="I1295" s="9">
        <f t="shared" si="689"/>
        <v>85.01942489999999</v>
      </c>
      <c r="J1295" s="9">
        <f t="shared" si="693"/>
        <v>100</v>
      </c>
    </row>
    <row r="1296" spans="1:10">
      <c r="A1296" s="8" t="s">
        <v>41</v>
      </c>
      <c r="B1296" s="1" t="s">
        <v>160</v>
      </c>
      <c r="C1296" s="1" t="s">
        <v>42</v>
      </c>
      <c r="D1296" s="9">
        <f>ведомство!G216</f>
        <v>60000</v>
      </c>
      <c r="E1296" s="9">
        <f>ведомство!H216</f>
        <v>60000</v>
      </c>
      <c r="F1296" s="9">
        <f>ведомство!I216</f>
        <v>51011.65494</v>
      </c>
      <c r="G1296" s="9">
        <f>ведомство!J216</f>
        <v>51011.65494</v>
      </c>
      <c r="H1296" s="9">
        <f>ведомство!K216</f>
        <v>51011.65494</v>
      </c>
      <c r="I1296" s="9">
        <f t="shared" si="689"/>
        <v>85.01942489999999</v>
      </c>
      <c r="J1296" s="9">
        <f t="shared" si="693"/>
        <v>100</v>
      </c>
    </row>
    <row r="1297" spans="1:10" ht="25.5">
      <c r="A1297" s="8" t="s">
        <v>107</v>
      </c>
      <c r="B1297" s="1" t="s">
        <v>161</v>
      </c>
      <c r="C1297" s="1" t="s">
        <v>0</v>
      </c>
      <c r="D1297" s="9">
        <f>D1298</f>
        <v>11942.7</v>
      </c>
      <c r="E1297" s="9">
        <f>E1298</f>
        <v>11942.685960000001</v>
      </c>
      <c r="F1297" s="9">
        <f t="shared" ref="F1297:G1298" si="704">F1298</f>
        <v>11942.685960000001</v>
      </c>
      <c r="G1297" s="9">
        <f t="shared" si="704"/>
        <v>11942.685960000001</v>
      </c>
      <c r="H1297" s="9">
        <f>H1298</f>
        <v>11942.685960000001</v>
      </c>
      <c r="I1297" s="9">
        <f t="shared" si="689"/>
        <v>100</v>
      </c>
      <c r="J1297" s="9">
        <f t="shared" si="693"/>
        <v>100</v>
      </c>
    </row>
    <row r="1298" spans="1:10">
      <c r="A1298" s="8" t="s">
        <v>26</v>
      </c>
      <c r="B1298" s="1" t="s">
        <v>161</v>
      </c>
      <c r="C1298" s="1" t="s">
        <v>27</v>
      </c>
      <c r="D1298" s="9">
        <f>D1299</f>
        <v>11942.7</v>
      </c>
      <c r="E1298" s="9">
        <f>E1299</f>
        <v>11942.685960000001</v>
      </c>
      <c r="F1298" s="9">
        <f t="shared" si="704"/>
        <v>11942.685960000001</v>
      </c>
      <c r="G1298" s="9">
        <f t="shared" si="704"/>
        <v>11942.685960000001</v>
      </c>
      <c r="H1298" s="9">
        <f>H1299</f>
        <v>11942.685960000001</v>
      </c>
      <c r="I1298" s="9">
        <f t="shared" si="689"/>
        <v>100</v>
      </c>
      <c r="J1298" s="9">
        <f t="shared" si="693"/>
        <v>100</v>
      </c>
    </row>
    <row r="1299" spans="1:10">
      <c r="A1299" s="8" t="s">
        <v>56</v>
      </c>
      <c r="B1299" s="1" t="s">
        <v>161</v>
      </c>
      <c r="C1299" s="1" t="s">
        <v>57</v>
      </c>
      <c r="D1299" s="9">
        <f>ведомство!G219</f>
        <v>11942.7</v>
      </c>
      <c r="E1299" s="9">
        <f>ведомство!H219</f>
        <v>11942.685960000001</v>
      </c>
      <c r="F1299" s="9">
        <f>ведомство!I219</f>
        <v>11942.685960000001</v>
      </c>
      <c r="G1299" s="9">
        <f>ведомство!J219</f>
        <v>11942.685960000001</v>
      </c>
      <c r="H1299" s="9">
        <f>ведомство!K219</f>
        <v>11942.685960000001</v>
      </c>
      <c r="I1299" s="9">
        <f t="shared" si="689"/>
        <v>100</v>
      </c>
      <c r="J1299" s="9">
        <f t="shared" si="693"/>
        <v>100</v>
      </c>
    </row>
    <row r="1300" spans="1:10">
      <c r="A1300" s="8" t="s">
        <v>924</v>
      </c>
      <c r="B1300" s="1" t="s">
        <v>928</v>
      </c>
      <c r="C1300" s="1" t="s">
        <v>0</v>
      </c>
      <c r="D1300" s="9">
        <f>D1301+D1303+D1307</f>
        <v>64100</v>
      </c>
      <c r="E1300" s="9">
        <f>E1301+E1303+E1307</f>
        <v>53814</v>
      </c>
      <c r="F1300" s="9">
        <f t="shared" ref="F1300:G1300" si="705">F1301+F1303+F1307</f>
        <v>45764</v>
      </c>
      <c r="G1300" s="9">
        <f t="shared" si="705"/>
        <v>45764</v>
      </c>
      <c r="H1300" s="9">
        <f>H1301+H1303+H1307</f>
        <v>45764</v>
      </c>
      <c r="I1300" s="9">
        <f t="shared" si="689"/>
        <v>85.041067380235631</v>
      </c>
      <c r="J1300" s="9">
        <f t="shared" si="693"/>
        <v>100</v>
      </c>
    </row>
    <row r="1301" spans="1:10">
      <c r="A1301" s="8" t="s">
        <v>68</v>
      </c>
      <c r="B1301" s="1" t="s">
        <v>928</v>
      </c>
      <c r="C1301" s="1" t="s">
        <v>69</v>
      </c>
      <c r="D1301" s="9">
        <f>D1302</f>
        <v>500</v>
      </c>
      <c r="E1301" s="9">
        <f>E1302</f>
        <v>500</v>
      </c>
      <c r="F1301" s="9">
        <f t="shared" ref="F1301:G1301" si="706">F1302</f>
        <v>0</v>
      </c>
      <c r="G1301" s="9">
        <f t="shared" si="706"/>
        <v>0</v>
      </c>
      <c r="H1301" s="9">
        <f>H1302</f>
        <v>0</v>
      </c>
      <c r="I1301" s="9">
        <f t="shared" si="689"/>
        <v>0</v>
      </c>
      <c r="J1301" s="9">
        <v>0</v>
      </c>
    </row>
    <row r="1302" spans="1:10">
      <c r="A1302" s="8" t="s">
        <v>70</v>
      </c>
      <c r="B1302" s="1" t="s">
        <v>928</v>
      </c>
      <c r="C1302" s="1" t="s">
        <v>71</v>
      </c>
      <c r="D1302" s="9">
        <f>ведомство!G2379</f>
        <v>500</v>
      </c>
      <c r="E1302" s="9">
        <f>ведомство!H2379</f>
        <v>500</v>
      </c>
      <c r="F1302" s="9">
        <f>ведомство!I2379</f>
        <v>0</v>
      </c>
      <c r="G1302" s="9">
        <f>ведомство!J2379</f>
        <v>0</v>
      </c>
      <c r="H1302" s="9">
        <f>ведомство!K2379</f>
        <v>0</v>
      </c>
      <c r="I1302" s="9">
        <f t="shared" si="689"/>
        <v>0</v>
      </c>
      <c r="J1302" s="9">
        <v>0</v>
      </c>
    </row>
    <row r="1303" spans="1:10" ht="25.5">
      <c r="A1303" s="8" t="s">
        <v>80</v>
      </c>
      <c r="B1303" s="1" t="s">
        <v>928</v>
      </c>
      <c r="C1303" s="1" t="s">
        <v>81</v>
      </c>
      <c r="D1303" s="9">
        <f>D1305+D1306+D1304</f>
        <v>63600</v>
      </c>
      <c r="E1303" s="9">
        <f>E1305+E1306+E1304</f>
        <v>52986</v>
      </c>
      <c r="F1303" s="9">
        <f t="shared" ref="F1303:G1303" si="707">F1305+F1306+F1304</f>
        <v>45436</v>
      </c>
      <c r="G1303" s="9">
        <f t="shared" si="707"/>
        <v>45436</v>
      </c>
      <c r="H1303" s="9">
        <f>H1305+H1306+H1304</f>
        <v>45436</v>
      </c>
      <c r="I1303" s="9">
        <f t="shared" si="689"/>
        <v>85.750953081946179</v>
      </c>
      <c r="J1303" s="9">
        <f t="shared" si="693"/>
        <v>100</v>
      </c>
    </row>
    <row r="1304" spans="1:10" s="42" customFormat="1">
      <c r="A1304" s="25" t="s">
        <v>271</v>
      </c>
      <c r="B1304" s="1" t="s">
        <v>928</v>
      </c>
      <c r="C1304" s="1">
        <v>610</v>
      </c>
      <c r="D1304" s="9">
        <f>ведомство!G2381</f>
        <v>0</v>
      </c>
      <c r="E1304" s="9">
        <f>ведомство!H2381</f>
        <v>664</v>
      </c>
      <c r="F1304" s="9">
        <f>ведомство!I2381</f>
        <v>664</v>
      </c>
      <c r="G1304" s="9">
        <f>ведомство!J2381</f>
        <v>664</v>
      </c>
      <c r="H1304" s="9">
        <f>ведомство!K2381</f>
        <v>664</v>
      </c>
      <c r="I1304" s="9">
        <f t="shared" ref="I1304" si="708">H1304/E1304*100</f>
        <v>100</v>
      </c>
      <c r="J1304" s="9">
        <f t="shared" ref="J1304" si="709">H1304/F1304*100</f>
        <v>100</v>
      </c>
    </row>
    <row r="1305" spans="1:10">
      <c r="A1305" s="8" t="s">
        <v>82</v>
      </c>
      <c r="B1305" s="1" t="s">
        <v>928</v>
      </c>
      <c r="C1305" s="1" t="s">
        <v>83</v>
      </c>
      <c r="D1305" s="9">
        <f>ведомство!G2414</f>
        <v>62100</v>
      </c>
      <c r="E1305" s="9">
        <f>ведомство!H2414</f>
        <v>51814</v>
      </c>
      <c r="F1305" s="9">
        <f>ведомство!I2414</f>
        <v>44264</v>
      </c>
      <c r="G1305" s="9">
        <f>ведомство!J2414</f>
        <v>44264</v>
      </c>
      <c r="H1305" s="9">
        <f>ведомство!K2414</f>
        <v>44264</v>
      </c>
      <c r="I1305" s="9">
        <f t="shared" si="689"/>
        <v>85.428648627784</v>
      </c>
      <c r="J1305" s="9">
        <f t="shared" si="693"/>
        <v>100</v>
      </c>
    </row>
    <row r="1306" spans="1:10" ht="25.5">
      <c r="A1306" s="8" t="s">
        <v>195</v>
      </c>
      <c r="B1306" s="1" t="s">
        <v>928</v>
      </c>
      <c r="C1306" s="1" t="s">
        <v>196</v>
      </c>
      <c r="D1306" s="9">
        <f>ведомство!G2382</f>
        <v>1500</v>
      </c>
      <c r="E1306" s="9">
        <f>ведомство!H2382</f>
        <v>508</v>
      </c>
      <c r="F1306" s="9">
        <f>ведомство!I2382</f>
        <v>508</v>
      </c>
      <c r="G1306" s="9">
        <f>ведомство!J2382</f>
        <v>508</v>
      </c>
      <c r="H1306" s="9">
        <f>ведомство!K2382</f>
        <v>508</v>
      </c>
      <c r="I1306" s="9">
        <f t="shared" si="689"/>
        <v>100</v>
      </c>
      <c r="J1306" s="9">
        <f t="shared" si="693"/>
        <v>100</v>
      </c>
    </row>
    <row r="1307" spans="1:10" s="42" customFormat="1">
      <c r="A1307" s="25" t="s">
        <v>72</v>
      </c>
      <c r="B1307" s="1" t="s">
        <v>928</v>
      </c>
      <c r="C1307" s="1">
        <v>800</v>
      </c>
      <c r="D1307" s="9">
        <f>D1308</f>
        <v>0</v>
      </c>
      <c r="E1307" s="9">
        <f>E1308</f>
        <v>328</v>
      </c>
      <c r="F1307" s="9">
        <f t="shared" ref="F1307:G1307" si="710">F1308</f>
        <v>328</v>
      </c>
      <c r="G1307" s="9">
        <f t="shared" si="710"/>
        <v>328</v>
      </c>
      <c r="H1307" s="9">
        <f>H1308</f>
        <v>328</v>
      </c>
      <c r="I1307" s="9">
        <f t="shared" ref="I1307:I1308" si="711">H1307/E1307*100</f>
        <v>100</v>
      </c>
      <c r="J1307" s="9">
        <f t="shared" ref="J1307:J1308" si="712">H1307/F1307*100</f>
        <v>100</v>
      </c>
    </row>
    <row r="1308" spans="1:10" s="42" customFormat="1" ht="38.25">
      <c r="A1308" s="25" t="s">
        <v>218</v>
      </c>
      <c r="B1308" s="1" t="s">
        <v>928</v>
      </c>
      <c r="C1308" s="1">
        <v>810</v>
      </c>
      <c r="D1308" s="9">
        <f>ведомство!G2384</f>
        <v>0</v>
      </c>
      <c r="E1308" s="9">
        <f>ведомство!H2384</f>
        <v>328</v>
      </c>
      <c r="F1308" s="9">
        <f>ведомство!I2384</f>
        <v>328</v>
      </c>
      <c r="G1308" s="9">
        <f>ведомство!J2384</f>
        <v>328</v>
      </c>
      <c r="H1308" s="9">
        <f>ведомство!K2384</f>
        <v>328</v>
      </c>
      <c r="I1308" s="9">
        <f t="shared" si="711"/>
        <v>100</v>
      </c>
      <c r="J1308" s="9">
        <f t="shared" si="712"/>
        <v>100</v>
      </c>
    </row>
    <row r="1309" spans="1:10">
      <c r="A1309" s="8" t="s">
        <v>303</v>
      </c>
      <c r="B1309" s="1" t="s">
        <v>344</v>
      </c>
      <c r="C1309" s="1" t="s">
        <v>0</v>
      </c>
      <c r="D1309" s="9">
        <f>D1310</f>
        <v>4667.1000000000004</v>
      </c>
      <c r="E1309" s="9">
        <f>E1310</f>
        <v>4667.1000000000004</v>
      </c>
      <c r="F1309" s="9">
        <f t="shared" ref="F1309:G1310" si="713">F1310</f>
        <v>3405.1973699999999</v>
      </c>
      <c r="G1309" s="9">
        <f t="shared" si="713"/>
        <v>3405.1973699999999</v>
      </c>
      <c r="H1309" s="9">
        <f>H1310</f>
        <v>3405.1973699999999</v>
      </c>
      <c r="I1309" s="9">
        <f t="shared" si="689"/>
        <v>72.961740052709374</v>
      </c>
      <c r="J1309" s="9">
        <f t="shared" si="693"/>
        <v>100</v>
      </c>
    </row>
    <row r="1310" spans="1:10" ht="25.5">
      <c r="A1310" s="8" t="s">
        <v>80</v>
      </c>
      <c r="B1310" s="1" t="s">
        <v>344</v>
      </c>
      <c r="C1310" s="1" t="s">
        <v>81</v>
      </c>
      <c r="D1310" s="9">
        <f>D1311</f>
        <v>4667.1000000000004</v>
      </c>
      <c r="E1310" s="9">
        <f>E1311</f>
        <v>4667.1000000000004</v>
      </c>
      <c r="F1310" s="9">
        <f t="shared" si="713"/>
        <v>3405.1973699999999</v>
      </c>
      <c r="G1310" s="9">
        <f t="shared" si="713"/>
        <v>3405.1973699999999</v>
      </c>
      <c r="H1310" s="9">
        <f>H1311</f>
        <v>3405.1973699999999</v>
      </c>
      <c r="I1310" s="9">
        <f t="shared" si="689"/>
        <v>72.961740052709374</v>
      </c>
      <c r="J1310" s="9">
        <f t="shared" si="693"/>
        <v>100</v>
      </c>
    </row>
    <row r="1311" spans="1:10">
      <c r="A1311" s="8" t="s">
        <v>271</v>
      </c>
      <c r="B1311" s="1" t="s">
        <v>344</v>
      </c>
      <c r="C1311" s="1" t="s">
        <v>272</v>
      </c>
      <c r="D1311" s="9">
        <f>ведомство!G735</f>
        <v>4667.1000000000004</v>
      </c>
      <c r="E1311" s="9">
        <f>ведомство!H735</f>
        <v>4667.1000000000004</v>
      </c>
      <c r="F1311" s="9">
        <f>ведомство!I735</f>
        <v>3405.1973699999999</v>
      </c>
      <c r="G1311" s="9">
        <f>ведомство!J735</f>
        <v>3405.1973699999999</v>
      </c>
      <c r="H1311" s="9">
        <f>ведомство!K735</f>
        <v>3405.1973699999999</v>
      </c>
      <c r="I1311" s="9">
        <f t="shared" si="689"/>
        <v>72.961740052709374</v>
      </c>
      <c r="J1311" s="9">
        <f t="shared" si="693"/>
        <v>100</v>
      </c>
    </row>
    <row r="1312" spans="1:10" s="88" customFormat="1" ht="63.75">
      <c r="A1312" s="62" t="s">
        <v>1173</v>
      </c>
      <c r="B1312" s="29" t="s">
        <v>1229</v>
      </c>
      <c r="C1312" s="28"/>
      <c r="D1312" s="9">
        <f t="shared" ref="D1312:H1313" si="714">D1313</f>
        <v>1839.3</v>
      </c>
      <c r="E1312" s="9">
        <f t="shared" si="714"/>
        <v>1839.2782099999999</v>
      </c>
      <c r="F1312" s="9">
        <f t="shared" si="714"/>
        <v>0</v>
      </c>
      <c r="G1312" s="9">
        <f t="shared" si="714"/>
        <v>0</v>
      </c>
      <c r="H1312" s="9">
        <f t="shared" si="714"/>
        <v>0</v>
      </c>
      <c r="I1312" s="9">
        <f t="shared" ref="I1312:I1314" si="715">H1312/E1312*100</f>
        <v>0</v>
      </c>
      <c r="J1312" s="9">
        <v>0</v>
      </c>
    </row>
    <row r="1313" spans="1:10" s="88" customFormat="1" ht="13.5" customHeight="1">
      <c r="A1313" s="62" t="s">
        <v>72</v>
      </c>
      <c r="B1313" s="29" t="s">
        <v>1229</v>
      </c>
      <c r="C1313" s="28">
        <v>800</v>
      </c>
      <c r="D1313" s="9">
        <f t="shared" si="714"/>
        <v>1839.3</v>
      </c>
      <c r="E1313" s="9">
        <f t="shared" si="714"/>
        <v>1839.2782099999999</v>
      </c>
      <c r="F1313" s="9">
        <f t="shared" si="714"/>
        <v>0</v>
      </c>
      <c r="G1313" s="9">
        <f t="shared" si="714"/>
        <v>0</v>
      </c>
      <c r="H1313" s="9">
        <f t="shared" si="714"/>
        <v>0</v>
      </c>
      <c r="I1313" s="9">
        <f t="shared" si="715"/>
        <v>0</v>
      </c>
      <c r="J1313" s="9">
        <v>0</v>
      </c>
    </row>
    <row r="1314" spans="1:10" s="88" customFormat="1">
      <c r="A1314" s="62" t="s">
        <v>74</v>
      </c>
      <c r="B1314" s="29" t="s">
        <v>1229</v>
      </c>
      <c r="C1314" s="28">
        <v>850</v>
      </c>
      <c r="D1314" s="9">
        <f>ведомство!G222</f>
        <v>1839.3</v>
      </c>
      <c r="E1314" s="9">
        <f>ведомство!H222</f>
        <v>1839.2782099999999</v>
      </c>
      <c r="F1314" s="9">
        <f>ведомство!I222</f>
        <v>0</v>
      </c>
      <c r="G1314" s="9">
        <f>ведомство!J222</f>
        <v>0</v>
      </c>
      <c r="H1314" s="9">
        <f>ведомство!K222</f>
        <v>0</v>
      </c>
      <c r="I1314" s="9">
        <f t="shared" si="715"/>
        <v>0</v>
      </c>
      <c r="J1314" s="9">
        <v>0</v>
      </c>
    </row>
    <row r="1315" spans="1:10" ht="25.5">
      <c r="A1315" s="8" t="s">
        <v>929</v>
      </c>
      <c r="B1315" s="1" t="s">
        <v>930</v>
      </c>
      <c r="C1315" s="1" t="s">
        <v>0</v>
      </c>
      <c r="D1315" s="9">
        <f>D1316</f>
        <v>20900</v>
      </c>
      <c r="E1315" s="9">
        <f>E1316</f>
        <v>18450</v>
      </c>
      <c r="F1315" s="9">
        <f t="shared" ref="F1315:G1316" si="716">F1316</f>
        <v>18450</v>
      </c>
      <c r="G1315" s="9">
        <f t="shared" si="716"/>
        <v>18450</v>
      </c>
      <c r="H1315" s="9">
        <f>H1316</f>
        <v>11807.819289999999</v>
      </c>
      <c r="I1315" s="9">
        <f t="shared" si="689"/>
        <v>63.999020542005411</v>
      </c>
      <c r="J1315" s="9">
        <f t="shared" si="693"/>
        <v>63.999020542005411</v>
      </c>
    </row>
    <row r="1316" spans="1:10">
      <c r="A1316" s="8" t="s">
        <v>26</v>
      </c>
      <c r="B1316" s="1" t="s">
        <v>930</v>
      </c>
      <c r="C1316" s="1" t="s">
        <v>27</v>
      </c>
      <c r="D1316" s="9">
        <f>D1317</f>
        <v>20900</v>
      </c>
      <c r="E1316" s="9">
        <f>E1317</f>
        <v>18450</v>
      </c>
      <c r="F1316" s="9">
        <f t="shared" si="716"/>
        <v>18450</v>
      </c>
      <c r="G1316" s="9">
        <f t="shared" si="716"/>
        <v>18450</v>
      </c>
      <c r="H1316" s="9">
        <f>H1317</f>
        <v>11807.819289999999</v>
      </c>
      <c r="I1316" s="9">
        <f t="shared" si="689"/>
        <v>63.999020542005411</v>
      </c>
      <c r="J1316" s="9">
        <f t="shared" si="693"/>
        <v>63.999020542005411</v>
      </c>
    </row>
    <row r="1317" spans="1:10">
      <c r="A1317" s="8" t="s">
        <v>56</v>
      </c>
      <c r="B1317" s="1" t="s">
        <v>930</v>
      </c>
      <c r="C1317" s="1" t="s">
        <v>57</v>
      </c>
      <c r="D1317" s="9">
        <f>ведомство!G2387</f>
        <v>20900</v>
      </c>
      <c r="E1317" s="9">
        <f>ведомство!H2387</f>
        <v>18450</v>
      </c>
      <c r="F1317" s="9">
        <f>ведомство!I2387</f>
        <v>18450</v>
      </c>
      <c r="G1317" s="9">
        <f>ведомство!J2387</f>
        <v>18450</v>
      </c>
      <c r="H1317" s="9">
        <f>ведомство!K2387</f>
        <v>11807.819289999999</v>
      </c>
      <c r="I1317" s="9">
        <f t="shared" si="689"/>
        <v>63.999020542005411</v>
      </c>
      <c r="J1317" s="9">
        <f t="shared" si="693"/>
        <v>63.999020542005411</v>
      </c>
    </row>
    <row r="1318" spans="1:10" s="42" customFormat="1" ht="25.5">
      <c r="A1318" s="8" t="s">
        <v>1116</v>
      </c>
      <c r="B1318" s="24" t="s">
        <v>1185</v>
      </c>
      <c r="C1318" s="1"/>
      <c r="D1318" s="9">
        <f>D1319</f>
        <v>0</v>
      </c>
      <c r="E1318" s="9">
        <f>E1319</f>
        <v>5000</v>
      </c>
      <c r="F1318" s="9">
        <f t="shared" ref="F1318:G1319" si="717">F1319</f>
        <v>5000</v>
      </c>
      <c r="G1318" s="9">
        <f t="shared" si="717"/>
        <v>5000</v>
      </c>
      <c r="H1318" s="9">
        <f>H1319</f>
        <v>5000</v>
      </c>
      <c r="I1318" s="9">
        <f t="shared" ref="I1318:I1329" si="718">H1318/E1318*100</f>
        <v>100</v>
      </c>
      <c r="J1318" s="9">
        <f t="shared" ref="J1318:J1326" si="719">H1318/F1318*100</f>
        <v>100</v>
      </c>
    </row>
    <row r="1319" spans="1:10" s="42" customFormat="1" ht="25.5">
      <c r="A1319" s="8" t="s">
        <v>80</v>
      </c>
      <c r="B1319" s="24" t="s">
        <v>1185</v>
      </c>
      <c r="C1319" s="1">
        <v>600</v>
      </c>
      <c r="D1319" s="9">
        <f>D1320</f>
        <v>0</v>
      </c>
      <c r="E1319" s="9">
        <f>E1320</f>
        <v>5000</v>
      </c>
      <c r="F1319" s="9">
        <f t="shared" si="717"/>
        <v>5000</v>
      </c>
      <c r="G1319" s="9">
        <f t="shared" si="717"/>
        <v>5000</v>
      </c>
      <c r="H1319" s="9">
        <f>H1320</f>
        <v>5000</v>
      </c>
      <c r="I1319" s="9">
        <f t="shared" si="718"/>
        <v>100</v>
      </c>
      <c r="J1319" s="9">
        <f t="shared" si="719"/>
        <v>100</v>
      </c>
    </row>
    <row r="1320" spans="1:10" s="42" customFormat="1">
      <c r="A1320" s="8" t="s">
        <v>82</v>
      </c>
      <c r="B1320" s="24" t="s">
        <v>1185</v>
      </c>
      <c r="C1320" s="1">
        <v>620</v>
      </c>
      <c r="D1320" s="9">
        <f>ведомство!G2390</f>
        <v>0</v>
      </c>
      <c r="E1320" s="9">
        <f>ведомство!H2390</f>
        <v>5000</v>
      </c>
      <c r="F1320" s="9">
        <f>ведомство!I2390</f>
        <v>5000</v>
      </c>
      <c r="G1320" s="9">
        <f>ведомство!J2390</f>
        <v>5000</v>
      </c>
      <c r="H1320" s="9">
        <f>ведомство!K2390</f>
        <v>5000</v>
      </c>
      <c r="I1320" s="9">
        <f t="shared" si="718"/>
        <v>100</v>
      </c>
      <c r="J1320" s="9">
        <f t="shared" si="719"/>
        <v>100</v>
      </c>
    </row>
    <row r="1321" spans="1:10" s="42" customFormat="1" ht="38.25">
      <c r="A1321" s="8" t="s">
        <v>1191</v>
      </c>
      <c r="B1321" s="24" t="s">
        <v>1190</v>
      </c>
      <c r="C1321" s="1"/>
      <c r="D1321" s="22">
        <f>D1322</f>
        <v>0</v>
      </c>
      <c r="E1321" s="22">
        <f>E1322</f>
        <v>14500</v>
      </c>
      <c r="F1321" s="22">
        <f t="shared" ref="F1321:G1322" si="720">F1322</f>
        <v>14500</v>
      </c>
      <c r="G1321" s="22">
        <f t="shared" si="720"/>
        <v>14500</v>
      </c>
      <c r="H1321" s="22">
        <f>H1322</f>
        <v>14500</v>
      </c>
      <c r="I1321" s="9">
        <f t="shared" si="718"/>
        <v>100</v>
      </c>
      <c r="J1321" s="9">
        <f t="shared" si="719"/>
        <v>100</v>
      </c>
    </row>
    <row r="1322" spans="1:10" s="42" customFormat="1" ht="25.5">
      <c r="A1322" s="8" t="s">
        <v>80</v>
      </c>
      <c r="B1322" s="24" t="s">
        <v>1190</v>
      </c>
      <c r="C1322" s="1">
        <v>600</v>
      </c>
      <c r="D1322" s="9">
        <f>D1323</f>
        <v>0</v>
      </c>
      <c r="E1322" s="9">
        <f>E1323</f>
        <v>14500</v>
      </c>
      <c r="F1322" s="9">
        <f t="shared" si="720"/>
        <v>14500</v>
      </c>
      <c r="G1322" s="9">
        <f t="shared" si="720"/>
        <v>14500</v>
      </c>
      <c r="H1322" s="9">
        <f>H1323</f>
        <v>14500</v>
      </c>
      <c r="I1322" s="9">
        <f t="shared" si="718"/>
        <v>100</v>
      </c>
      <c r="J1322" s="9">
        <f t="shared" si="719"/>
        <v>100</v>
      </c>
    </row>
    <row r="1323" spans="1:10" s="42" customFormat="1">
      <c r="A1323" s="8" t="s">
        <v>82</v>
      </c>
      <c r="B1323" s="24" t="s">
        <v>1190</v>
      </c>
      <c r="C1323" s="1">
        <v>620</v>
      </c>
      <c r="D1323" s="9">
        <f>ведомство!G2417</f>
        <v>0</v>
      </c>
      <c r="E1323" s="9">
        <f>ведомство!H2417</f>
        <v>14500</v>
      </c>
      <c r="F1323" s="9">
        <f>ведомство!I2417</f>
        <v>14500</v>
      </c>
      <c r="G1323" s="9">
        <f>ведомство!J2417</f>
        <v>14500</v>
      </c>
      <c r="H1323" s="9">
        <f>ведомство!K2417</f>
        <v>14500</v>
      </c>
      <c r="I1323" s="9">
        <f t="shared" si="718"/>
        <v>100</v>
      </c>
      <c r="J1323" s="9">
        <f t="shared" si="719"/>
        <v>100</v>
      </c>
    </row>
    <row r="1324" spans="1:10" s="42" customFormat="1" ht="38.25">
      <c r="A1324" s="8" t="s">
        <v>1187</v>
      </c>
      <c r="B1324" s="24" t="s">
        <v>1186</v>
      </c>
      <c r="C1324" s="1"/>
      <c r="D1324" s="9">
        <f>D1325</f>
        <v>0</v>
      </c>
      <c r="E1324" s="9">
        <f>E1325</f>
        <v>200</v>
      </c>
      <c r="F1324" s="9">
        <f t="shared" ref="F1324:G1325" si="721">F1325</f>
        <v>200</v>
      </c>
      <c r="G1324" s="9">
        <f t="shared" si="721"/>
        <v>200</v>
      </c>
      <c r="H1324" s="9">
        <f>H1325</f>
        <v>200</v>
      </c>
      <c r="I1324" s="9">
        <f t="shared" si="718"/>
        <v>100</v>
      </c>
      <c r="J1324" s="9">
        <f t="shared" si="719"/>
        <v>100</v>
      </c>
    </row>
    <row r="1325" spans="1:10" s="42" customFormat="1" ht="25.5">
      <c r="A1325" s="8" t="s">
        <v>80</v>
      </c>
      <c r="B1325" s="24" t="s">
        <v>1186</v>
      </c>
      <c r="C1325" s="1">
        <v>600</v>
      </c>
      <c r="D1325" s="9">
        <f>D1326</f>
        <v>0</v>
      </c>
      <c r="E1325" s="9">
        <f>E1326</f>
        <v>200</v>
      </c>
      <c r="F1325" s="9">
        <f t="shared" si="721"/>
        <v>200</v>
      </c>
      <c r="G1325" s="9">
        <f t="shared" si="721"/>
        <v>200</v>
      </c>
      <c r="H1325" s="9">
        <f>H1326</f>
        <v>200</v>
      </c>
      <c r="I1325" s="9">
        <f t="shared" si="718"/>
        <v>100</v>
      </c>
      <c r="J1325" s="9">
        <f t="shared" si="719"/>
        <v>100</v>
      </c>
    </row>
    <row r="1326" spans="1:10" s="42" customFormat="1">
      <c r="A1326" s="8" t="s">
        <v>82</v>
      </c>
      <c r="B1326" s="24" t="s">
        <v>1186</v>
      </c>
      <c r="C1326" s="1">
        <v>620</v>
      </c>
      <c r="D1326" s="9">
        <f>ведомство!G2393</f>
        <v>0</v>
      </c>
      <c r="E1326" s="9">
        <f>ведомство!H2393</f>
        <v>200</v>
      </c>
      <c r="F1326" s="9">
        <f>ведомство!I2393</f>
        <v>200</v>
      </c>
      <c r="G1326" s="9">
        <f>ведомство!J2393</f>
        <v>200</v>
      </c>
      <c r="H1326" s="9">
        <f>ведомство!K2393</f>
        <v>200</v>
      </c>
      <c r="I1326" s="9">
        <f t="shared" si="718"/>
        <v>100</v>
      </c>
      <c r="J1326" s="9">
        <f t="shared" si="719"/>
        <v>100</v>
      </c>
    </row>
    <row r="1327" spans="1:10" s="42" customFormat="1" ht="38.25">
      <c r="A1327" s="8" t="s">
        <v>1189</v>
      </c>
      <c r="B1327" s="24" t="s">
        <v>1188</v>
      </c>
      <c r="C1327" s="1"/>
      <c r="D1327" s="9">
        <f>D1328</f>
        <v>0</v>
      </c>
      <c r="E1327" s="9">
        <f>E1328</f>
        <v>2450</v>
      </c>
      <c r="F1327" s="9">
        <f t="shared" ref="F1327:G1328" si="722">F1328</f>
        <v>2000</v>
      </c>
      <c r="G1327" s="9">
        <f t="shared" si="722"/>
        <v>0</v>
      </c>
      <c r="H1327" s="9">
        <f>H1328</f>
        <v>0</v>
      </c>
      <c r="I1327" s="9">
        <f t="shared" si="718"/>
        <v>0</v>
      </c>
      <c r="J1327" s="9">
        <v>0</v>
      </c>
    </row>
    <row r="1328" spans="1:10" s="42" customFormat="1">
      <c r="A1328" s="25" t="s">
        <v>26</v>
      </c>
      <c r="B1328" s="24" t="s">
        <v>1188</v>
      </c>
      <c r="C1328" s="1">
        <v>500</v>
      </c>
      <c r="D1328" s="9">
        <f>D1329</f>
        <v>0</v>
      </c>
      <c r="E1328" s="9">
        <f>E1329</f>
        <v>2450</v>
      </c>
      <c r="F1328" s="9">
        <f t="shared" si="722"/>
        <v>2000</v>
      </c>
      <c r="G1328" s="9">
        <f t="shared" si="722"/>
        <v>0</v>
      </c>
      <c r="H1328" s="9">
        <f>H1329</f>
        <v>0</v>
      </c>
      <c r="I1328" s="9">
        <f t="shared" si="718"/>
        <v>0</v>
      </c>
      <c r="J1328" s="9">
        <v>0</v>
      </c>
    </row>
    <row r="1329" spans="1:10" s="42" customFormat="1">
      <c r="A1329" s="25" t="s">
        <v>56</v>
      </c>
      <c r="B1329" s="24" t="s">
        <v>1188</v>
      </c>
      <c r="C1329" s="1">
        <v>520</v>
      </c>
      <c r="D1329" s="9">
        <f>ведомство!G2396</f>
        <v>0</v>
      </c>
      <c r="E1329" s="9">
        <f>ведомство!H2396</f>
        <v>2450</v>
      </c>
      <c r="F1329" s="9">
        <f>ведомство!I2396</f>
        <v>2000</v>
      </c>
      <c r="G1329" s="9">
        <f>ведомство!J2396</f>
        <v>0</v>
      </c>
      <c r="H1329" s="9">
        <f>ведомство!K2396</f>
        <v>0</v>
      </c>
      <c r="I1329" s="9">
        <f t="shared" si="718"/>
        <v>0</v>
      </c>
      <c r="J1329" s="9">
        <v>0</v>
      </c>
    </row>
    <row r="1330" spans="1:10">
      <c r="A1330" s="4" t="s">
        <v>0</v>
      </c>
      <c r="B1330" s="17" t="s">
        <v>0</v>
      </c>
      <c r="C1330" s="5" t="s">
        <v>0</v>
      </c>
      <c r="D1330" s="7" t="s">
        <v>0</v>
      </c>
      <c r="E1330" s="7" t="s">
        <v>0</v>
      </c>
      <c r="F1330" s="7" t="s">
        <v>0</v>
      </c>
      <c r="G1330" s="7" t="s">
        <v>0</v>
      </c>
      <c r="H1330" s="7" t="s">
        <v>0</v>
      </c>
      <c r="I1330" s="7"/>
      <c r="J1330" s="7"/>
    </row>
    <row r="1331" spans="1:10" ht="25.5">
      <c r="A1331" s="4" t="s">
        <v>985</v>
      </c>
      <c r="B1331" s="5" t="s">
        <v>986</v>
      </c>
      <c r="C1331" s="5" t="s">
        <v>0</v>
      </c>
      <c r="D1331" s="7">
        <f>D1332+D1335+D1340</f>
        <v>55242.7</v>
      </c>
      <c r="E1331" s="7">
        <f>E1332+E1335+E1340</f>
        <v>55242.7</v>
      </c>
      <c r="F1331" s="7">
        <f t="shared" ref="F1331:G1331" si="723">F1332+F1335+F1340</f>
        <v>46321.2</v>
      </c>
      <c r="G1331" s="7">
        <f t="shared" si="723"/>
        <v>46321.2</v>
      </c>
      <c r="H1331" s="7">
        <f>H1332+H1335+H1340</f>
        <v>45320.512999999999</v>
      </c>
      <c r="I1331" s="7">
        <f t="shared" si="689"/>
        <v>82.038917359216697</v>
      </c>
      <c r="J1331" s="7">
        <f t="shared" si="693"/>
        <v>97.839678160324013</v>
      </c>
    </row>
    <row r="1332" spans="1:10" ht="25.5">
      <c r="A1332" s="8" t="s">
        <v>76</v>
      </c>
      <c r="B1332" s="1" t="s">
        <v>987</v>
      </c>
      <c r="C1332" s="1" t="s">
        <v>0</v>
      </c>
      <c r="D1332" s="9">
        <f>D1333</f>
        <v>23877.7</v>
      </c>
      <c r="E1332" s="9">
        <f>E1333</f>
        <v>25037.7</v>
      </c>
      <c r="F1332" s="9">
        <f t="shared" ref="F1332:G1333" si="724">F1333</f>
        <v>19263</v>
      </c>
      <c r="G1332" s="9">
        <f t="shared" si="724"/>
        <v>19263</v>
      </c>
      <c r="H1332" s="9">
        <f>H1333</f>
        <v>19263</v>
      </c>
      <c r="I1332" s="9">
        <f t="shared" si="689"/>
        <v>76.935980541343653</v>
      </c>
      <c r="J1332" s="9">
        <f t="shared" si="693"/>
        <v>100</v>
      </c>
    </row>
    <row r="1333" spans="1:10" ht="25.5">
      <c r="A1333" s="8" t="s">
        <v>80</v>
      </c>
      <c r="B1333" s="1" t="s">
        <v>987</v>
      </c>
      <c r="C1333" s="1" t="s">
        <v>81</v>
      </c>
      <c r="D1333" s="9">
        <f>D1334</f>
        <v>23877.7</v>
      </c>
      <c r="E1333" s="9">
        <f>E1334</f>
        <v>25037.7</v>
      </c>
      <c r="F1333" s="9">
        <f t="shared" si="724"/>
        <v>19263</v>
      </c>
      <c r="G1333" s="9">
        <f t="shared" si="724"/>
        <v>19263</v>
      </c>
      <c r="H1333" s="9">
        <f>H1334</f>
        <v>19263</v>
      </c>
      <c r="I1333" s="9">
        <f t="shared" si="689"/>
        <v>76.935980541343653</v>
      </c>
      <c r="J1333" s="9">
        <f t="shared" si="693"/>
        <v>100</v>
      </c>
    </row>
    <row r="1334" spans="1:10">
      <c r="A1334" s="8" t="s">
        <v>82</v>
      </c>
      <c r="B1334" s="1" t="s">
        <v>987</v>
      </c>
      <c r="C1334" s="1" t="s">
        <v>83</v>
      </c>
      <c r="D1334" s="9">
        <f>ведомство!G2595</f>
        <v>23877.7</v>
      </c>
      <c r="E1334" s="9">
        <f>ведомство!H2595</f>
        <v>25037.7</v>
      </c>
      <c r="F1334" s="9">
        <f>ведомство!I2595</f>
        <v>19263</v>
      </c>
      <c r="G1334" s="9">
        <f>ведомство!J2595</f>
        <v>19263</v>
      </c>
      <c r="H1334" s="9">
        <f>ведомство!K2595</f>
        <v>19263</v>
      </c>
      <c r="I1334" s="9">
        <f t="shared" si="689"/>
        <v>76.935980541343653</v>
      </c>
      <c r="J1334" s="9">
        <f t="shared" si="693"/>
        <v>100</v>
      </c>
    </row>
    <row r="1335" spans="1:10" ht="25.5">
      <c r="A1335" s="8" t="s">
        <v>983</v>
      </c>
      <c r="B1335" s="1" t="s">
        <v>988</v>
      </c>
      <c r="C1335" s="1" t="s">
        <v>0</v>
      </c>
      <c r="D1335" s="9">
        <f>D1336+D1338</f>
        <v>26215</v>
      </c>
      <c r="E1335" s="9">
        <f>E1336+E1338</f>
        <v>25055</v>
      </c>
      <c r="F1335" s="9">
        <f t="shared" ref="F1335:G1335" si="725">F1336+F1338</f>
        <v>21908.2</v>
      </c>
      <c r="G1335" s="9">
        <f t="shared" si="725"/>
        <v>21908.2</v>
      </c>
      <c r="H1335" s="9">
        <f>H1336+H1338</f>
        <v>21908.2</v>
      </c>
      <c r="I1335" s="9">
        <f t="shared" si="689"/>
        <v>87.440431051686289</v>
      </c>
      <c r="J1335" s="9">
        <f t="shared" si="693"/>
        <v>100</v>
      </c>
    </row>
    <row r="1336" spans="1:10">
      <c r="A1336" s="8" t="s">
        <v>68</v>
      </c>
      <c r="B1336" s="1" t="s">
        <v>988</v>
      </c>
      <c r="C1336" s="1" t="s">
        <v>69</v>
      </c>
      <c r="D1336" s="9">
        <f>D1337</f>
        <v>100</v>
      </c>
      <c r="E1336" s="9">
        <f>E1337</f>
        <v>100</v>
      </c>
      <c r="F1336" s="9">
        <f t="shared" ref="F1336:G1336" si="726">F1337</f>
        <v>0</v>
      </c>
      <c r="G1336" s="9">
        <f t="shared" si="726"/>
        <v>0</v>
      </c>
      <c r="H1336" s="9">
        <f>H1337</f>
        <v>0</v>
      </c>
      <c r="I1336" s="9">
        <f t="shared" si="689"/>
        <v>0</v>
      </c>
      <c r="J1336" s="9">
        <v>0</v>
      </c>
    </row>
    <row r="1337" spans="1:10">
      <c r="A1337" s="8" t="s">
        <v>373</v>
      </c>
      <c r="B1337" s="1" t="s">
        <v>988</v>
      </c>
      <c r="C1337" s="1" t="s">
        <v>374</v>
      </c>
      <c r="D1337" s="9">
        <f>ведомство!G2598</f>
        <v>100</v>
      </c>
      <c r="E1337" s="9">
        <f>ведомство!H2598</f>
        <v>100</v>
      </c>
      <c r="F1337" s="9">
        <f>ведомство!I2598</f>
        <v>0</v>
      </c>
      <c r="G1337" s="9">
        <f>ведомство!J2598</f>
        <v>0</v>
      </c>
      <c r="H1337" s="9">
        <f>ведомство!K2598</f>
        <v>0</v>
      </c>
      <c r="I1337" s="9">
        <f t="shared" si="689"/>
        <v>0</v>
      </c>
      <c r="J1337" s="9">
        <v>0</v>
      </c>
    </row>
    <row r="1338" spans="1:10" ht="25.5">
      <c r="A1338" s="8" t="s">
        <v>80</v>
      </c>
      <c r="B1338" s="1" t="s">
        <v>988</v>
      </c>
      <c r="C1338" s="1" t="s">
        <v>81</v>
      </c>
      <c r="D1338" s="9">
        <f>D1339</f>
        <v>26115</v>
      </c>
      <c r="E1338" s="9">
        <f>E1339</f>
        <v>24955</v>
      </c>
      <c r="F1338" s="9">
        <f t="shared" ref="F1338:G1338" si="727">F1339</f>
        <v>21908.2</v>
      </c>
      <c r="G1338" s="9">
        <f t="shared" si="727"/>
        <v>21908.2</v>
      </c>
      <c r="H1338" s="9">
        <f>H1339</f>
        <v>21908.2</v>
      </c>
      <c r="I1338" s="9">
        <f t="shared" si="689"/>
        <v>87.790823482268081</v>
      </c>
      <c r="J1338" s="9">
        <f t="shared" si="693"/>
        <v>100</v>
      </c>
    </row>
    <row r="1339" spans="1:10">
      <c r="A1339" s="8" t="s">
        <v>82</v>
      </c>
      <c r="B1339" s="1" t="s">
        <v>988</v>
      </c>
      <c r="C1339" s="1" t="s">
        <v>83</v>
      </c>
      <c r="D1339" s="9">
        <f>ведомство!G2600</f>
        <v>26115</v>
      </c>
      <c r="E1339" s="9">
        <f>ведомство!H2600</f>
        <v>24955</v>
      </c>
      <c r="F1339" s="9">
        <f>ведомство!I2600</f>
        <v>21908.2</v>
      </c>
      <c r="G1339" s="9">
        <f>ведомство!J2600</f>
        <v>21908.2</v>
      </c>
      <c r="H1339" s="9">
        <f>ведомство!K2600</f>
        <v>21908.2</v>
      </c>
      <c r="I1339" s="9">
        <f t="shared" si="689"/>
        <v>87.790823482268081</v>
      </c>
      <c r="J1339" s="9">
        <f t="shared" si="693"/>
        <v>100</v>
      </c>
    </row>
    <row r="1340" spans="1:10" ht="25.5">
      <c r="A1340" s="8" t="s">
        <v>989</v>
      </c>
      <c r="B1340" s="1" t="s">
        <v>990</v>
      </c>
      <c r="C1340" s="1" t="s">
        <v>0</v>
      </c>
      <c r="D1340" s="9">
        <f>D1341</f>
        <v>5150</v>
      </c>
      <c r="E1340" s="9">
        <f>E1341</f>
        <v>5150</v>
      </c>
      <c r="F1340" s="9">
        <f t="shared" ref="F1340:G1341" si="728">F1341</f>
        <v>5150</v>
      </c>
      <c r="G1340" s="9">
        <f t="shared" si="728"/>
        <v>5150</v>
      </c>
      <c r="H1340" s="9">
        <f>H1341</f>
        <v>4149.3130000000001</v>
      </c>
      <c r="I1340" s="9">
        <f t="shared" si="689"/>
        <v>80.569184466019422</v>
      </c>
      <c r="J1340" s="9">
        <f t="shared" si="693"/>
        <v>80.569184466019422</v>
      </c>
    </row>
    <row r="1341" spans="1:10">
      <c r="A1341" s="8" t="s">
        <v>26</v>
      </c>
      <c r="B1341" s="1" t="s">
        <v>990</v>
      </c>
      <c r="C1341" s="1" t="s">
        <v>27</v>
      </c>
      <c r="D1341" s="9">
        <f>D1342</f>
        <v>5150</v>
      </c>
      <c r="E1341" s="9">
        <f>E1342</f>
        <v>5150</v>
      </c>
      <c r="F1341" s="9">
        <f t="shared" si="728"/>
        <v>5150</v>
      </c>
      <c r="G1341" s="9">
        <f t="shared" si="728"/>
        <v>5150</v>
      </c>
      <c r="H1341" s="9">
        <f>H1342</f>
        <v>4149.3130000000001</v>
      </c>
      <c r="I1341" s="9">
        <f t="shared" si="689"/>
        <v>80.569184466019422</v>
      </c>
      <c r="J1341" s="9">
        <f t="shared" si="693"/>
        <v>80.569184466019422</v>
      </c>
    </row>
    <row r="1342" spans="1:10">
      <c r="A1342" s="8" t="s">
        <v>56</v>
      </c>
      <c r="B1342" s="1" t="s">
        <v>990</v>
      </c>
      <c r="C1342" s="1" t="s">
        <v>57</v>
      </c>
      <c r="D1342" s="9">
        <f>ведомство!G2603</f>
        <v>5150</v>
      </c>
      <c r="E1342" s="9">
        <f>ведомство!H2603</f>
        <v>5150</v>
      </c>
      <c r="F1342" s="9">
        <f>ведомство!I2603</f>
        <v>5150</v>
      </c>
      <c r="G1342" s="9">
        <f>ведомство!J2603</f>
        <v>5150</v>
      </c>
      <c r="H1342" s="9">
        <f>ведомство!K2603</f>
        <v>4149.3130000000001</v>
      </c>
      <c r="I1342" s="9">
        <f t="shared" si="689"/>
        <v>80.569184466019422</v>
      </c>
      <c r="J1342" s="9">
        <f t="shared" si="693"/>
        <v>80.569184466019422</v>
      </c>
    </row>
    <row r="1343" spans="1:10">
      <c r="A1343" s="4" t="s">
        <v>0</v>
      </c>
      <c r="B1343" s="17" t="s">
        <v>0</v>
      </c>
      <c r="C1343" s="5" t="s">
        <v>0</v>
      </c>
      <c r="D1343" s="7" t="s">
        <v>0</v>
      </c>
      <c r="E1343" s="7" t="s">
        <v>0</v>
      </c>
      <c r="F1343" s="7" t="s">
        <v>0</v>
      </c>
      <c r="G1343" s="7" t="s">
        <v>0</v>
      </c>
      <c r="H1343" s="7" t="s">
        <v>0</v>
      </c>
      <c r="I1343" s="7"/>
      <c r="J1343" s="7"/>
    </row>
    <row r="1344" spans="1:10" ht="38.25">
      <c r="A1344" s="4" t="s">
        <v>450</v>
      </c>
      <c r="B1344" s="5" t="s">
        <v>451</v>
      </c>
      <c r="C1344" s="5" t="s">
        <v>0</v>
      </c>
      <c r="D1344" s="7">
        <f>D1345+D1348+D1351+D1354</f>
        <v>46735.5</v>
      </c>
      <c r="E1344" s="7">
        <f>E1345+E1348+E1351+E1354</f>
        <v>46735.5</v>
      </c>
      <c r="F1344" s="7">
        <f t="shared" ref="F1344:G1344" si="729">F1345+F1348+F1351+F1354</f>
        <v>42435.5</v>
      </c>
      <c r="G1344" s="7">
        <f t="shared" si="729"/>
        <v>42435.5</v>
      </c>
      <c r="H1344" s="7">
        <f>H1345+H1348+H1351+H1354</f>
        <v>42085.5</v>
      </c>
      <c r="I1344" s="7">
        <f t="shared" si="689"/>
        <v>90.050389960522509</v>
      </c>
      <c r="J1344" s="7">
        <f t="shared" si="693"/>
        <v>99.175218861566378</v>
      </c>
    </row>
    <row r="1345" spans="1:10" ht="25.5">
      <c r="A1345" s="8" t="s">
        <v>76</v>
      </c>
      <c r="B1345" s="1" t="s">
        <v>991</v>
      </c>
      <c r="C1345" s="1" t="s">
        <v>0</v>
      </c>
      <c r="D1345" s="9">
        <f>D1346</f>
        <v>13000</v>
      </c>
      <c r="E1345" s="9">
        <f>E1346</f>
        <v>13000</v>
      </c>
      <c r="F1345" s="9">
        <f t="shared" ref="F1345:G1346" si="730">F1346</f>
        <v>10000</v>
      </c>
      <c r="G1345" s="9">
        <f t="shared" si="730"/>
        <v>10000</v>
      </c>
      <c r="H1345" s="9">
        <f>H1346</f>
        <v>10000</v>
      </c>
      <c r="I1345" s="9">
        <f t="shared" si="689"/>
        <v>76.923076923076934</v>
      </c>
      <c r="J1345" s="9">
        <f t="shared" si="693"/>
        <v>100</v>
      </c>
    </row>
    <row r="1346" spans="1:10" ht="25.5">
      <c r="A1346" s="8" t="s">
        <v>80</v>
      </c>
      <c r="B1346" s="1" t="s">
        <v>991</v>
      </c>
      <c r="C1346" s="1" t="s">
        <v>81</v>
      </c>
      <c r="D1346" s="9">
        <f>D1347</f>
        <v>13000</v>
      </c>
      <c r="E1346" s="9">
        <f>E1347</f>
        <v>13000</v>
      </c>
      <c r="F1346" s="9">
        <f t="shared" si="730"/>
        <v>10000</v>
      </c>
      <c r="G1346" s="9">
        <f t="shared" si="730"/>
        <v>10000</v>
      </c>
      <c r="H1346" s="9">
        <f>H1347</f>
        <v>10000</v>
      </c>
      <c r="I1346" s="9">
        <f t="shared" si="689"/>
        <v>76.923076923076934</v>
      </c>
      <c r="J1346" s="9">
        <f t="shared" si="693"/>
        <v>100</v>
      </c>
    </row>
    <row r="1347" spans="1:10">
      <c r="A1347" s="8" t="s">
        <v>82</v>
      </c>
      <c r="B1347" s="1" t="s">
        <v>991</v>
      </c>
      <c r="C1347" s="1" t="s">
        <v>83</v>
      </c>
      <c r="D1347" s="9">
        <f>ведомство!G2607</f>
        <v>13000</v>
      </c>
      <c r="E1347" s="9">
        <f>ведомство!H2607</f>
        <v>13000</v>
      </c>
      <c r="F1347" s="9">
        <f>ведомство!I2607</f>
        <v>10000</v>
      </c>
      <c r="G1347" s="9">
        <f>ведомство!J2607</f>
        <v>10000</v>
      </c>
      <c r="H1347" s="9">
        <f>ведомство!K2607</f>
        <v>10000</v>
      </c>
      <c r="I1347" s="9">
        <f t="shared" si="689"/>
        <v>76.923076923076934</v>
      </c>
      <c r="J1347" s="9">
        <f t="shared" si="693"/>
        <v>100</v>
      </c>
    </row>
    <row r="1348" spans="1:10" ht="25.5">
      <c r="A1348" s="8" t="s">
        <v>983</v>
      </c>
      <c r="B1348" s="1" t="s">
        <v>992</v>
      </c>
      <c r="C1348" s="1" t="s">
        <v>0</v>
      </c>
      <c r="D1348" s="9">
        <f>D1349</f>
        <v>32535.5</v>
      </c>
      <c r="E1348" s="9">
        <f>E1349</f>
        <v>32535.5</v>
      </c>
      <c r="F1348" s="9">
        <f t="shared" ref="F1348:G1349" si="731">F1349</f>
        <v>31235.5</v>
      </c>
      <c r="G1348" s="9">
        <f t="shared" si="731"/>
        <v>31235.5</v>
      </c>
      <c r="H1348" s="9">
        <f>H1349</f>
        <v>31235.5</v>
      </c>
      <c r="I1348" s="9">
        <f t="shared" si="689"/>
        <v>96.004364463432239</v>
      </c>
      <c r="J1348" s="9">
        <f t="shared" si="693"/>
        <v>100</v>
      </c>
    </row>
    <row r="1349" spans="1:10" ht="25.5">
      <c r="A1349" s="8" t="s">
        <v>80</v>
      </c>
      <c r="B1349" s="1" t="s">
        <v>992</v>
      </c>
      <c r="C1349" s="1" t="s">
        <v>81</v>
      </c>
      <c r="D1349" s="9">
        <f>D1350</f>
        <v>32535.5</v>
      </c>
      <c r="E1349" s="9">
        <f>E1350</f>
        <v>32535.5</v>
      </c>
      <c r="F1349" s="9">
        <f t="shared" si="731"/>
        <v>31235.5</v>
      </c>
      <c r="G1349" s="9">
        <f t="shared" si="731"/>
        <v>31235.5</v>
      </c>
      <c r="H1349" s="9">
        <f>H1350</f>
        <v>31235.5</v>
      </c>
      <c r="I1349" s="9">
        <f t="shared" si="689"/>
        <v>96.004364463432239</v>
      </c>
      <c r="J1349" s="9">
        <f t="shared" si="693"/>
        <v>100</v>
      </c>
    </row>
    <row r="1350" spans="1:10">
      <c r="A1350" s="8" t="s">
        <v>82</v>
      </c>
      <c r="B1350" s="1" t="s">
        <v>992</v>
      </c>
      <c r="C1350" s="1" t="s">
        <v>83</v>
      </c>
      <c r="D1350" s="9">
        <f>ведомство!G2610</f>
        <v>32535.5</v>
      </c>
      <c r="E1350" s="9">
        <f>ведомство!H2610</f>
        <v>32535.5</v>
      </c>
      <c r="F1350" s="9">
        <f>ведомство!I2610</f>
        <v>31235.5</v>
      </c>
      <c r="G1350" s="9">
        <f>ведомство!J2610</f>
        <v>31235.5</v>
      </c>
      <c r="H1350" s="9">
        <f>ведомство!K2610</f>
        <v>31235.5</v>
      </c>
      <c r="I1350" s="9">
        <f t="shared" si="689"/>
        <v>96.004364463432239</v>
      </c>
      <c r="J1350" s="9">
        <f t="shared" si="693"/>
        <v>100</v>
      </c>
    </row>
    <row r="1351" spans="1:10">
      <c r="A1351" s="8" t="s">
        <v>424</v>
      </c>
      <c r="B1351" s="1" t="s">
        <v>452</v>
      </c>
      <c r="C1351" s="1" t="s">
        <v>0</v>
      </c>
      <c r="D1351" s="9">
        <f>D1352</f>
        <v>800</v>
      </c>
      <c r="E1351" s="9">
        <f>E1352</f>
        <v>800</v>
      </c>
      <c r="F1351" s="9">
        <f t="shared" ref="F1351:G1352" si="732">F1352</f>
        <v>800</v>
      </c>
      <c r="G1351" s="9">
        <f t="shared" si="732"/>
        <v>800</v>
      </c>
      <c r="H1351" s="9">
        <f>H1352</f>
        <v>450</v>
      </c>
      <c r="I1351" s="9">
        <f t="shared" si="689"/>
        <v>56.25</v>
      </c>
      <c r="J1351" s="9">
        <f t="shared" si="693"/>
        <v>56.25</v>
      </c>
    </row>
    <row r="1352" spans="1:10" ht="25.5">
      <c r="A1352" s="8" t="s">
        <v>64</v>
      </c>
      <c r="B1352" s="1" t="s">
        <v>452</v>
      </c>
      <c r="C1352" s="1" t="s">
        <v>65</v>
      </c>
      <c r="D1352" s="9">
        <f>D1353</f>
        <v>800</v>
      </c>
      <c r="E1352" s="9">
        <f>E1353</f>
        <v>800</v>
      </c>
      <c r="F1352" s="9">
        <f t="shared" si="732"/>
        <v>800</v>
      </c>
      <c r="G1352" s="9">
        <f t="shared" si="732"/>
        <v>800</v>
      </c>
      <c r="H1352" s="9">
        <f>H1353</f>
        <v>450</v>
      </c>
      <c r="I1352" s="9">
        <f t="shared" si="689"/>
        <v>56.25</v>
      </c>
      <c r="J1352" s="9">
        <f t="shared" si="693"/>
        <v>56.25</v>
      </c>
    </row>
    <row r="1353" spans="1:10" ht="25.5">
      <c r="A1353" s="8" t="s">
        <v>66</v>
      </c>
      <c r="B1353" s="1" t="s">
        <v>452</v>
      </c>
      <c r="C1353" s="1" t="s">
        <v>67</v>
      </c>
      <c r="D1353" s="9">
        <f>ведомство!G1190</f>
        <v>800</v>
      </c>
      <c r="E1353" s="9">
        <f>ведомство!H1190</f>
        <v>800</v>
      </c>
      <c r="F1353" s="9">
        <f>ведомство!I1190</f>
        <v>800</v>
      </c>
      <c r="G1353" s="9">
        <f>ведомство!J1190</f>
        <v>800</v>
      </c>
      <c r="H1353" s="9">
        <f>ведомство!K1190</f>
        <v>450</v>
      </c>
      <c r="I1353" s="9">
        <f t="shared" si="689"/>
        <v>56.25</v>
      </c>
      <c r="J1353" s="9">
        <f t="shared" si="693"/>
        <v>56.25</v>
      </c>
    </row>
    <row r="1354" spans="1:10" ht="38.25">
      <c r="A1354" s="8" t="s">
        <v>993</v>
      </c>
      <c r="B1354" s="1" t="s">
        <v>994</v>
      </c>
      <c r="C1354" s="1" t="s">
        <v>0</v>
      </c>
      <c r="D1354" s="9">
        <f>D1355</f>
        <v>400</v>
      </c>
      <c r="E1354" s="9">
        <f>E1355</f>
        <v>400</v>
      </c>
      <c r="F1354" s="9">
        <f t="shared" ref="F1354:G1355" si="733">F1355</f>
        <v>400</v>
      </c>
      <c r="G1354" s="9">
        <f t="shared" si="733"/>
        <v>400</v>
      </c>
      <c r="H1354" s="9">
        <f>H1355</f>
        <v>400</v>
      </c>
      <c r="I1354" s="9">
        <f t="shared" si="689"/>
        <v>100</v>
      </c>
      <c r="J1354" s="9">
        <f t="shared" si="693"/>
        <v>100</v>
      </c>
    </row>
    <row r="1355" spans="1:10">
      <c r="A1355" s="8" t="s">
        <v>26</v>
      </c>
      <c r="B1355" s="1" t="s">
        <v>994</v>
      </c>
      <c r="C1355" s="1" t="s">
        <v>27</v>
      </c>
      <c r="D1355" s="9">
        <f>D1356</f>
        <v>400</v>
      </c>
      <c r="E1355" s="9">
        <f>E1356</f>
        <v>400</v>
      </c>
      <c r="F1355" s="9">
        <f t="shared" si="733"/>
        <v>400</v>
      </c>
      <c r="G1355" s="9">
        <f t="shared" si="733"/>
        <v>400</v>
      </c>
      <c r="H1355" s="9">
        <f>H1356</f>
        <v>400</v>
      </c>
      <c r="I1355" s="9">
        <f t="shared" ref="I1355:I1431" si="734">H1355/E1355*100</f>
        <v>100</v>
      </c>
      <c r="J1355" s="9">
        <f t="shared" ref="J1355:J1431" si="735">H1355/F1355*100</f>
        <v>100</v>
      </c>
    </row>
    <row r="1356" spans="1:10">
      <c r="A1356" s="8" t="s">
        <v>56</v>
      </c>
      <c r="B1356" s="1" t="s">
        <v>994</v>
      </c>
      <c r="C1356" s="1" t="s">
        <v>57</v>
      </c>
      <c r="D1356" s="9">
        <f>ведомство!G2613</f>
        <v>400</v>
      </c>
      <c r="E1356" s="9">
        <f>ведомство!H2613</f>
        <v>400</v>
      </c>
      <c r="F1356" s="9">
        <f>ведомство!I2613</f>
        <v>400</v>
      </c>
      <c r="G1356" s="9">
        <f>ведомство!J2613</f>
        <v>400</v>
      </c>
      <c r="H1356" s="9">
        <f>ведомство!K2613</f>
        <v>400</v>
      </c>
      <c r="I1356" s="9">
        <f t="shared" si="734"/>
        <v>100</v>
      </c>
      <c r="J1356" s="9">
        <f t="shared" si="735"/>
        <v>100</v>
      </c>
    </row>
    <row r="1357" spans="1:10">
      <c r="A1357" s="4" t="s">
        <v>0</v>
      </c>
      <c r="B1357" s="17" t="s">
        <v>0</v>
      </c>
      <c r="C1357" s="5" t="s">
        <v>0</v>
      </c>
      <c r="D1357" s="7" t="s">
        <v>0</v>
      </c>
      <c r="E1357" s="7" t="s">
        <v>0</v>
      </c>
      <c r="F1357" s="7" t="s">
        <v>0</v>
      </c>
      <c r="G1357" s="7" t="s">
        <v>0</v>
      </c>
      <c r="H1357" s="7" t="s">
        <v>0</v>
      </c>
      <c r="I1357" s="7"/>
      <c r="J1357" s="7"/>
    </row>
    <row r="1358" spans="1:10" ht="25.5">
      <c r="A1358" s="4" t="s">
        <v>22</v>
      </c>
      <c r="B1358" s="5" t="s">
        <v>922</v>
      </c>
      <c r="C1358" s="5" t="s">
        <v>0</v>
      </c>
      <c r="D1358" s="7">
        <f>D1359</f>
        <v>31624.3</v>
      </c>
      <c r="E1358" s="7">
        <f>E1359</f>
        <v>25140.310079999999</v>
      </c>
      <c r="F1358" s="7">
        <f t="shared" ref="F1358:G1358" si="736">F1359</f>
        <v>20968.75</v>
      </c>
      <c r="G1358" s="7">
        <f t="shared" si="736"/>
        <v>20968.75</v>
      </c>
      <c r="H1358" s="7">
        <f>H1359</f>
        <v>17489.22741</v>
      </c>
      <c r="I1358" s="7">
        <f t="shared" si="734"/>
        <v>69.566474535703108</v>
      </c>
      <c r="J1358" s="7">
        <f t="shared" si="735"/>
        <v>83.406151582712369</v>
      </c>
    </row>
    <row r="1359" spans="1:10" ht="25.5">
      <c r="A1359" s="8" t="s">
        <v>58</v>
      </c>
      <c r="B1359" s="1" t="s">
        <v>923</v>
      </c>
      <c r="C1359" s="1" t="s">
        <v>0</v>
      </c>
      <c r="D1359" s="9">
        <f>D1360+D1362+D1364</f>
        <v>31624.3</v>
      </c>
      <c r="E1359" s="9">
        <f>E1360+E1362+E1364</f>
        <v>25140.310079999999</v>
      </c>
      <c r="F1359" s="9">
        <f t="shared" ref="F1359:G1359" si="737">F1360+F1362+F1364</f>
        <v>20968.75</v>
      </c>
      <c r="G1359" s="9">
        <f t="shared" si="737"/>
        <v>20968.75</v>
      </c>
      <c r="H1359" s="9">
        <f>H1360+H1362+H1364</f>
        <v>17489.22741</v>
      </c>
      <c r="I1359" s="9">
        <f t="shared" si="734"/>
        <v>69.566474535703108</v>
      </c>
      <c r="J1359" s="9">
        <f t="shared" si="735"/>
        <v>83.406151582712369</v>
      </c>
    </row>
    <row r="1360" spans="1:10" ht="51">
      <c r="A1360" s="8" t="s">
        <v>60</v>
      </c>
      <c r="B1360" s="1" t="s">
        <v>923</v>
      </c>
      <c r="C1360" s="1" t="s">
        <v>61</v>
      </c>
      <c r="D1360" s="9">
        <f>D1361</f>
        <v>30789</v>
      </c>
      <c r="E1360" s="9">
        <f>E1361</f>
        <v>24420.76008</v>
      </c>
      <c r="F1360" s="9">
        <f t="shared" ref="F1360:G1360" si="738">F1361</f>
        <v>20327.5</v>
      </c>
      <c r="G1360" s="9">
        <f t="shared" si="738"/>
        <v>20327.5</v>
      </c>
      <c r="H1360" s="9">
        <f>H1361</f>
        <v>16985.187590000001</v>
      </c>
      <c r="I1360" s="9">
        <f t="shared" si="734"/>
        <v>69.552247900385595</v>
      </c>
      <c r="J1360" s="9">
        <f t="shared" si="735"/>
        <v>83.557680924855489</v>
      </c>
    </row>
    <row r="1361" spans="1:10" ht="25.5">
      <c r="A1361" s="8" t="s">
        <v>62</v>
      </c>
      <c r="B1361" s="1" t="s">
        <v>923</v>
      </c>
      <c r="C1361" s="1" t="s">
        <v>63</v>
      </c>
      <c r="D1361" s="9">
        <f>ведомство!G2332</f>
        <v>30789</v>
      </c>
      <c r="E1361" s="9">
        <f>ведомство!H2332</f>
        <v>24420.76008</v>
      </c>
      <c r="F1361" s="9">
        <f>ведомство!I2332</f>
        <v>20327.5</v>
      </c>
      <c r="G1361" s="9">
        <f>ведомство!J2332</f>
        <v>20327.5</v>
      </c>
      <c r="H1361" s="9">
        <f>ведомство!K2332</f>
        <v>16985.187590000001</v>
      </c>
      <c r="I1361" s="9">
        <f t="shared" si="734"/>
        <v>69.552247900385595</v>
      </c>
      <c r="J1361" s="9">
        <f t="shared" si="735"/>
        <v>83.557680924855489</v>
      </c>
    </row>
    <row r="1362" spans="1:10" ht="25.5">
      <c r="A1362" s="8" t="s">
        <v>64</v>
      </c>
      <c r="B1362" s="1" t="s">
        <v>923</v>
      </c>
      <c r="C1362" s="1" t="s">
        <v>65</v>
      </c>
      <c r="D1362" s="9">
        <f>D1363</f>
        <v>833.7</v>
      </c>
      <c r="E1362" s="9">
        <f>E1363</f>
        <v>717.95</v>
      </c>
      <c r="F1362" s="9">
        <f t="shared" ref="F1362:G1362" si="739">F1363</f>
        <v>640.04999999999995</v>
      </c>
      <c r="G1362" s="9">
        <f t="shared" si="739"/>
        <v>640.04999999999995</v>
      </c>
      <c r="H1362" s="9">
        <f>H1363</f>
        <v>503.47582</v>
      </c>
      <c r="I1362" s="9">
        <f t="shared" si="734"/>
        <v>70.126863987742865</v>
      </c>
      <c r="J1362" s="9">
        <f t="shared" si="735"/>
        <v>78.6619514100461</v>
      </c>
    </row>
    <row r="1363" spans="1:10" ht="25.5">
      <c r="A1363" s="8" t="s">
        <v>66</v>
      </c>
      <c r="B1363" s="1" t="s">
        <v>923</v>
      </c>
      <c r="C1363" s="1" t="s">
        <v>67</v>
      </c>
      <c r="D1363" s="9">
        <f>ведомство!G2334</f>
        <v>833.7</v>
      </c>
      <c r="E1363" s="9">
        <f>ведомство!H2334</f>
        <v>717.95</v>
      </c>
      <c r="F1363" s="9">
        <f>ведомство!I2334</f>
        <v>640.04999999999995</v>
      </c>
      <c r="G1363" s="9">
        <f>ведомство!J2334</f>
        <v>640.04999999999995</v>
      </c>
      <c r="H1363" s="9">
        <f>ведомство!K2334</f>
        <v>503.47582</v>
      </c>
      <c r="I1363" s="9">
        <f t="shared" si="734"/>
        <v>70.126863987742865</v>
      </c>
      <c r="J1363" s="9">
        <f t="shared" si="735"/>
        <v>78.6619514100461</v>
      </c>
    </row>
    <row r="1364" spans="1:10">
      <c r="A1364" s="8" t="s">
        <v>72</v>
      </c>
      <c r="B1364" s="1" t="s">
        <v>923</v>
      </c>
      <c r="C1364" s="1" t="s">
        <v>73</v>
      </c>
      <c r="D1364" s="9">
        <f>D1365</f>
        <v>1.6</v>
      </c>
      <c r="E1364" s="9">
        <f>E1365</f>
        <v>1.6</v>
      </c>
      <c r="F1364" s="9">
        <f t="shared" ref="F1364:G1364" si="740">F1365</f>
        <v>1.2</v>
      </c>
      <c r="G1364" s="9">
        <f t="shared" si="740"/>
        <v>1.2</v>
      </c>
      <c r="H1364" s="9">
        <f>H1365</f>
        <v>0.56399999999999995</v>
      </c>
      <c r="I1364" s="9">
        <f t="shared" si="734"/>
        <v>35.249999999999993</v>
      </c>
      <c r="J1364" s="9">
        <f t="shared" si="735"/>
        <v>47</v>
      </c>
    </row>
    <row r="1365" spans="1:10">
      <c r="A1365" s="8" t="s">
        <v>74</v>
      </c>
      <c r="B1365" s="1" t="s">
        <v>923</v>
      </c>
      <c r="C1365" s="1" t="s">
        <v>75</v>
      </c>
      <c r="D1365" s="9">
        <f>ведомство!G2336</f>
        <v>1.6</v>
      </c>
      <c r="E1365" s="9">
        <f>ведомство!H2336</f>
        <v>1.6</v>
      </c>
      <c r="F1365" s="9">
        <f>ведомство!I2336</f>
        <v>1.2</v>
      </c>
      <c r="G1365" s="9">
        <f>ведомство!J2336</f>
        <v>1.2</v>
      </c>
      <c r="H1365" s="9">
        <f>ведомство!K2336</f>
        <v>0.56399999999999995</v>
      </c>
      <c r="I1365" s="9">
        <f t="shared" si="734"/>
        <v>35.249999999999993</v>
      </c>
      <c r="J1365" s="9">
        <f t="shared" si="735"/>
        <v>47</v>
      </c>
    </row>
    <row r="1366" spans="1:10">
      <c r="A1366" s="4" t="s">
        <v>0</v>
      </c>
      <c r="B1366" s="17" t="s">
        <v>0</v>
      </c>
      <c r="C1366" s="5" t="s">
        <v>0</v>
      </c>
      <c r="D1366" s="7" t="s">
        <v>0</v>
      </c>
      <c r="E1366" s="7" t="s">
        <v>0</v>
      </c>
      <c r="F1366" s="7" t="s">
        <v>0</v>
      </c>
      <c r="G1366" s="7" t="s">
        <v>0</v>
      </c>
      <c r="H1366" s="7" t="s">
        <v>0</v>
      </c>
      <c r="I1366" s="7"/>
      <c r="J1366" s="7"/>
    </row>
    <row r="1367" spans="1:10" ht="38.25">
      <c r="A1367" s="4" t="s">
        <v>713</v>
      </c>
      <c r="B1367" s="5" t="s">
        <v>714</v>
      </c>
      <c r="C1367" s="5" t="s">
        <v>0</v>
      </c>
      <c r="D1367" s="7">
        <f>D1368+D1380+D1407+D1419+D1435</f>
        <v>222243.94</v>
      </c>
      <c r="E1367" s="7">
        <f>E1368+E1380+E1407+E1419+E1435</f>
        <v>303267.93599999999</v>
      </c>
      <c r="F1367" s="7">
        <f t="shared" ref="F1367:G1367" si="741">F1368+F1380+F1407+F1419+F1435</f>
        <v>166186.13457999995</v>
      </c>
      <c r="G1367" s="7">
        <f t="shared" si="741"/>
        <v>163298.29821999997</v>
      </c>
      <c r="H1367" s="7">
        <f>H1368+H1380+H1407+H1419+H1435</f>
        <v>153528.95415999999</v>
      </c>
      <c r="I1367" s="7">
        <f t="shared" si="734"/>
        <v>50.624855428171614</v>
      </c>
      <c r="J1367" s="7">
        <f t="shared" si="735"/>
        <v>92.383732582752302</v>
      </c>
    </row>
    <row r="1368" spans="1:10" ht="25.5">
      <c r="A1368" s="4" t="s">
        <v>719</v>
      </c>
      <c r="B1368" s="5" t="s">
        <v>720</v>
      </c>
      <c r="C1368" s="5" t="s">
        <v>0</v>
      </c>
      <c r="D1368" s="7">
        <f>D1369+D1376</f>
        <v>11607.5</v>
      </c>
      <c r="E1368" s="7">
        <f>E1369+E1376</f>
        <v>11607.5</v>
      </c>
      <c r="F1368" s="7">
        <f t="shared" ref="F1368:G1368" si="742">F1369+F1376</f>
        <v>223.36</v>
      </c>
      <c r="G1368" s="7">
        <f t="shared" si="742"/>
        <v>223.36</v>
      </c>
      <c r="H1368" s="7">
        <f>H1369+H1376</f>
        <v>159.90010000000001</v>
      </c>
      <c r="I1368" s="7">
        <f t="shared" si="734"/>
        <v>1.3775584751238423</v>
      </c>
      <c r="J1368" s="7">
        <f t="shared" si="735"/>
        <v>71.588511819484239</v>
      </c>
    </row>
    <row r="1369" spans="1:10" ht="25.5">
      <c r="A1369" s="8" t="s">
        <v>721</v>
      </c>
      <c r="B1369" s="1" t="s">
        <v>722</v>
      </c>
      <c r="C1369" s="1" t="s">
        <v>0</v>
      </c>
      <c r="D1369" s="9">
        <f>D1372+D1374+D1370</f>
        <v>4700</v>
      </c>
      <c r="E1369" s="9">
        <f>E1372+E1374+E1370</f>
        <v>4700</v>
      </c>
      <c r="F1369" s="9">
        <f t="shared" ref="F1369:G1369" si="743">F1372+F1374+F1370</f>
        <v>223.36</v>
      </c>
      <c r="G1369" s="9">
        <f t="shared" si="743"/>
        <v>223.36</v>
      </c>
      <c r="H1369" s="9">
        <f>H1372+H1374+H1370</f>
        <v>159.90010000000001</v>
      </c>
      <c r="I1369" s="9">
        <f t="shared" si="734"/>
        <v>3.4021297872340428</v>
      </c>
      <c r="J1369" s="9">
        <f t="shared" si="735"/>
        <v>71.588511819484239</v>
      </c>
    </row>
    <row r="1370" spans="1:10" s="42" customFormat="1" ht="51">
      <c r="A1370" s="8" t="s">
        <v>60</v>
      </c>
      <c r="B1370" s="1" t="s">
        <v>722</v>
      </c>
      <c r="C1370" s="1">
        <v>100</v>
      </c>
      <c r="D1370" s="9">
        <f>D1371</f>
        <v>140</v>
      </c>
      <c r="E1370" s="9">
        <f>E1371</f>
        <v>140</v>
      </c>
      <c r="F1370" s="9">
        <f t="shared" ref="F1370:G1370" si="744">F1371</f>
        <v>140</v>
      </c>
      <c r="G1370" s="9">
        <f t="shared" si="744"/>
        <v>140</v>
      </c>
      <c r="H1370" s="9">
        <f>H1371</f>
        <v>126.1001</v>
      </c>
      <c r="I1370" s="9">
        <f t="shared" ref="I1370:I1371" si="745">H1370/E1370*100</f>
        <v>90.071499999999986</v>
      </c>
      <c r="J1370" s="9">
        <f t="shared" ref="J1370:J1371" si="746">H1370/F1370*100</f>
        <v>90.071499999999986</v>
      </c>
    </row>
    <row r="1371" spans="1:10" s="42" customFormat="1" ht="25.5">
      <c r="A1371" s="8" t="s">
        <v>62</v>
      </c>
      <c r="B1371" s="1" t="s">
        <v>722</v>
      </c>
      <c r="C1371" s="1">
        <v>120</v>
      </c>
      <c r="D1371" s="9">
        <f>ведомство!G2986</f>
        <v>140</v>
      </c>
      <c r="E1371" s="9">
        <f>ведомство!H2986</f>
        <v>140</v>
      </c>
      <c r="F1371" s="9">
        <f>ведомство!I2986</f>
        <v>140</v>
      </c>
      <c r="G1371" s="9">
        <f>ведомство!J2986</f>
        <v>140</v>
      </c>
      <c r="H1371" s="9">
        <f>ведомство!K2986</f>
        <v>126.1001</v>
      </c>
      <c r="I1371" s="9">
        <f t="shared" si="745"/>
        <v>90.071499999999986</v>
      </c>
      <c r="J1371" s="9">
        <f t="shared" si="746"/>
        <v>90.071499999999986</v>
      </c>
    </row>
    <row r="1372" spans="1:10" ht="25.5">
      <c r="A1372" s="8" t="s">
        <v>64</v>
      </c>
      <c r="B1372" s="1" t="s">
        <v>722</v>
      </c>
      <c r="C1372" s="1" t="s">
        <v>65</v>
      </c>
      <c r="D1372" s="9">
        <f>D1373</f>
        <v>2560</v>
      </c>
      <c r="E1372" s="9">
        <f>E1373</f>
        <v>2560</v>
      </c>
      <c r="F1372" s="9">
        <f t="shared" ref="F1372:G1372" si="747">F1373</f>
        <v>83.36</v>
      </c>
      <c r="G1372" s="9">
        <f t="shared" si="747"/>
        <v>83.36</v>
      </c>
      <c r="H1372" s="9">
        <f>H1373</f>
        <v>33.799999999999997</v>
      </c>
      <c r="I1372" s="9">
        <f t="shared" si="734"/>
        <v>1.3203125</v>
      </c>
      <c r="J1372" s="9">
        <v>0</v>
      </c>
    </row>
    <row r="1373" spans="1:10" ht="25.5">
      <c r="A1373" s="8" t="s">
        <v>66</v>
      </c>
      <c r="B1373" s="1" t="s">
        <v>722</v>
      </c>
      <c r="C1373" s="1" t="s">
        <v>67</v>
      </c>
      <c r="D1373" s="9">
        <f>ведомство!G2988+ведомство!G1758</f>
        <v>2560</v>
      </c>
      <c r="E1373" s="9">
        <f>ведомство!H2988+ведомство!H1758</f>
        <v>2560</v>
      </c>
      <c r="F1373" s="9">
        <f>ведомство!I2988+ведомство!I1758</f>
        <v>83.36</v>
      </c>
      <c r="G1373" s="9">
        <f>ведомство!J2988+ведомство!J1758</f>
        <v>83.36</v>
      </c>
      <c r="H1373" s="9">
        <f>ведомство!K2988+ведомство!K1758</f>
        <v>33.799999999999997</v>
      </c>
      <c r="I1373" s="9">
        <f t="shared" si="734"/>
        <v>1.3203125</v>
      </c>
      <c r="J1373" s="9">
        <v>0</v>
      </c>
    </row>
    <row r="1374" spans="1:10">
      <c r="A1374" s="8" t="s">
        <v>72</v>
      </c>
      <c r="B1374" s="1" t="s">
        <v>722</v>
      </c>
      <c r="C1374" s="1" t="s">
        <v>73</v>
      </c>
      <c r="D1374" s="9">
        <f>D1375</f>
        <v>2000</v>
      </c>
      <c r="E1374" s="9">
        <f>E1375</f>
        <v>2000</v>
      </c>
      <c r="F1374" s="9">
        <f t="shared" ref="F1374:G1374" si="748">F1375</f>
        <v>0</v>
      </c>
      <c r="G1374" s="9">
        <f t="shared" si="748"/>
        <v>0</v>
      </c>
      <c r="H1374" s="9">
        <f>H1375</f>
        <v>0</v>
      </c>
      <c r="I1374" s="9">
        <f t="shared" si="734"/>
        <v>0</v>
      </c>
      <c r="J1374" s="9">
        <v>0</v>
      </c>
    </row>
    <row r="1375" spans="1:10" ht="38.25">
      <c r="A1375" s="8" t="s">
        <v>218</v>
      </c>
      <c r="B1375" s="1" t="s">
        <v>722</v>
      </c>
      <c r="C1375" s="1" t="s">
        <v>219</v>
      </c>
      <c r="D1375" s="9">
        <f>ведомство!G1760</f>
        <v>2000</v>
      </c>
      <c r="E1375" s="9">
        <f>ведомство!H1760</f>
        <v>2000</v>
      </c>
      <c r="F1375" s="9">
        <f>ведомство!I1760</f>
        <v>0</v>
      </c>
      <c r="G1375" s="9">
        <f>ведомство!J1760</f>
        <v>0</v>
      </c>
      <c r="H1375" s="9">
        <f>ведомство!K1760</f>
        <v>0</v>
      </c>
      <c r="I1375" s="9">
        <f t="shared" si="734"/>
        <v>0</v>
      </c>
      <c r="J1375" s="9">
        <v>0</v>
      </c>
    </row>
    <row r="1376" spans="1:10" ht="25.5">
      <c r="A1376" s="8" t="s">
        <v>723</v>
      </c>
      <c r="B1376" s="1" t="s">
        <v>724</v>
      </c>
      <c r="C1376" s="1" t="s">
        <v>0</v>
      </c>
      <c r="D1376" s="9">
        <f>D1377</f>
        <v>6907.5</v>
      </c>
      <c r="E1376" s="9">
        <f>E1377</f>
        <v>6907.5</v>
      </c>
      <c r="F1376" s="9">
        <f t="shared" ref="F1376:G1377" si="749">F1377</f>
        <v>0</v>
      </c>
      <c r="G1376" s="9">
        <f t="shared" si="749"/>
        <v>0</v>
      </c>
      <c r="H1376" s="9">
        <f>H1377</f>
        <v>0</v>
      </c>
      <c r="I1376" s="9">
        <f t="shared" si="734"/>
        <v>0</v>
      </c>
      <c r="J1376" s="9">
        <v>0</v>
      </c>
    </row>
    <row r="1377" spans="1:10" ht="25.5">
      <c r="A1377" s="8" t="s">
        <v>64</v>
      </c>
      <c r="B1377" s="1" t="s">
        <v>724</v>
      </c>
      <c r="C1377" s="1" t="s">
        <v>65</v>
      </c>
      <c r="D1377" s="9">
        <f>D1378</f>
        <v>6907.5</v>
      </c>
      <c r="E1377" s="9">
        <f>E1378</f>
        <v>6907.5</v>
      </c>
      <c r="F1377" s="9">
        <f t="shared" si="749"/>
        <v>0</v>
      </c>
      <c r="G1377" s="9">
        <f t="shared" si="749"/>
        <v>0</v>
      </c>
      <c r="H1377" s="9">
        <f>H1378</f>
        <v>0</v>
      </c>
      <c r="I1377" s="9">
        <f t="shared" si="734"/>
        <v>0</v>
      </c>
      <c r="J1377" s="9">
        <v>0</v>
      </c>
    </row>
    <row r="1378" spans="1:10" ht="25.5">
      <c r="A1378" s="8" t="s">
        <v>66</v>
      </c>
      <c r="B1378" s="1" t="s">
        <v>724</v>
      </c>
      <c r="C1378" s="1" t="s">
        <v>67</v>
      </c>
      <c r="D1378" s="9">
        <f>ведомство!G1763</f>
        <v>6907.5</v>
      </c>
      <c r="E1378" s="9">
        <f>ведомство!H1763</f>
        <v>6907.5</v>
      </c>
      <c r="F1378" s="9">
        <f>ведомство!I1763</f>
        <v>0</v>
      </c>
      <c r="G1378" s="9">
        <f>ведомство!J1763</f>
        <v>0</v>
      </c>
      <c r="H1378" s="9">
        <f>ведомство!K1763</f>
        <v>0</v>
      </c>
      <c r="I1378" s="9">
        <f t="shared" si="734"/>
        <v>0</v>
      </c>
      <c r="J1378" s="9">
        <v>0</v>
      </c>
    </row>
    <row r="1379" spans="1:10">
      <c r="A1379" s="4" t="s">
        <v>0</v>
      </c>
      <c r="B1379" s="17" t="s">
        <v>0</v>
      </c>
      <c r="C1379" s="5" t="s">
        <v>0</v>
      </c>
      <c r="D1379" s="7" t="s">
        <v>0</v>
      </c>
      <c r="E1379" s="7" t="s">
        <v>0</v>
      </c>
      <c r="F1379" s="7" t="s">
        <v>0</v>
      </c>
      <c r="G1379" s="7" t="s">
        <v>0</v>
      </c>
      <c r="H1379" s="7" t="s">
        <v>0</v>
      </c>
      <c r="I1379" s="7"/>
      <c r="J1379" s="7"/>
    </row>
    <row r="1380" spans="1:10" ht="25.5">
      <c r="A1380" s="4" t="s">
        <v>725</v>
      </c>
      <c r="B1380" s="5" t="s">
        <v>726</v>
      </c>
      <c r="C1380" s="5" t="s">
        <v>0</v>
      </c>
      <c r="D1380" s="7">
        <f>D1392+D1395+D1398</f>
        <v>48843.199999999997</v>
      </c>
      <c r="E1380" s="7">
        <f>E1392+E1395+E1398+E1389+E1381</f>
        <v>126349.72899999999</v>
      </c>
      <c r="F1380" s="7">
        <f t="shared" ref="F1380:G1380" si="750">F1392+F1395+F1398+F1389+F1381</f>
        <v>43639.373</v>
      </c>
      <c r="G1380" s="7">
        <f t="shared" si="750"/>
        <v>43639.373</v>
      </c>
      <c r="H1380" s="7">
        <f>H1392+H1395+H1398+H1389+H1381</f>
        <v>43639.373</v>
      </c>
      <c r="I1380" s="7">
        <f t="shared" si="734"/>
        <v>34.538556865444484</v>
      </c>
      <c r="J1380" s="7">
        <f t="shared" si="735"/>
        <v>100</v>
      </c>
    </row>
    <row r="1381" spans="1:10" s="92" customFormat="1" ht="38.25">
      <c r="A1381" s="62" t="s">
        <v>1270</v>
      </c>
      <c r="B1381" s="29" t="s">
        <v>1269</v>
      </c>
      <c r="C1381" s="58"/>
      <c r="D1381" s="22">
        <v>0</v>
      </c>
      <c r="E1381" s="22">
        <f>E1382+E1384+E1387</f>
        <v>74753.415999999997</v>
      </c>
      <c r="F1381" s="22">
        <f t="shared" ref="F1381:G1381" si="751">F1382+F1384+F1387</f>
        <v>29499.359</v>
      </c>
      <c r="G1381" s="22">
        <f t="shared" si="751"/>
        <v>29499.359</v>
      </c>
      <c r="H1381" s="22">
        <f>H1382+H1384+H1387</f>
        <v>29499.359</v>
      </c>
      <c r="I1381" s="22">
        <f t="shared" ref="I1381:I1388" si="752">H1381/E1381*100</f>
        <v>39.462222034107448</v>
      </c>
      <c r="J1381" s="22">
        <f t="shared" ref="J1381:J1388" si="753">H1381/F1381*100</f>
        <v>100</v>
      </c>
    </row>
    <row r="1382" spans="1:10" s="92" customFormat="1">
      <c r="A1382" s="59" t="s">
        <v>26</v>
      </c>
      <c r="B1382" s="29" t="s">
        <v>1269</v>
      </c>
      <c r="C1382" s="28">
        <v>500</v>
      </c>
      <c r="D1382" s="22">
        <v>0</v>
      </c>
      <c r="E1382" s="22">
        <f>E1383</f>
        <v>16254.116</v>
      </c>
      <c r="F1382" s="22">
        <f t="shared" ref="F1382:G1382" si="754">F1383</f>
        <v>0</v>
      </c>
      <c r="G1382" s="22">
        <f t="shared" si="754"/>
        <v>0</v>
      </c>
      <c r="H1382" s="22">
        <f>H1383</f>
        <v>0</v>
      </c>
      <c r="I1382" s="22">
        <f t="shared" si="752"/>
        <v>0</v>
      </c>
      <c r="J1382" s="22">
        <v>0</v>
      </c>
    </row>
    <row r="1383" spans="1:10" s="92" customFormat="1">
      <c r="A1383" s="59" t="s">
        <v>56</v>
      </c>
      <c r="B1383" s="29" t="s">
        <v>1269</v>
      </c>
      <c r="C1383" s="28">
        <v>520</v>
      </c>
      <c r="D1383" s="22">
        <v>0</v>
      </c>
      <c r="E1383" s="22">
        <f>ведомство!H1767</f>
        <v>16254.116</v>
      </c>
      <c r="F1383" s="22">
        <f>ведомство!I1767</f>
        <v>0</v>
      </c>
      <c r="G1383" s="22">
        <f>ведомство!J1767</f>
        <v>0</v>
      </c>
      <c r="H1383" s="22">
        <f>ведомство!K1767</f>
        <v>0</v>
      </c>
      <c r="I1383" s="22">
        <f t="shared" si="752"/>
        <v>0</v>
      </c>
      <c r="J1383" s="22">
        <v>0</v>
      </c>
    </row>
    <row r="1384" spans="1:10" s="92" customFormat="1" ht="25.5">
      <c r="A1384" s="59" t="s">
        <v>80</v>
      </c>
      <c r="B1384" s="29" t="s">
        <v>1269</v>
      </c>
      <c r="C1384" s="28">
        <v>600</v>
      </c>
      <c r="D1384" s="22">
        <v>0</v>
      </c>
      <c r="E1384" s="22">
        <f>E1385+E1386</f>
        <v>32000</v>
      </c>
      <c r="F1384" s="22">
        <f t="shared" ref="F1384:G1384" si="755">F1385+F1386</f>
        <v>27000</v>
      </c>
      <c r="G1384" s="22">
        <f t="shared" si="755"/>
        <v>27000</v>
      </c>
      <c r="H1384" s="22">
        <f>H1385+H1386</f>
        <v>27000</v>
      </c>
      <c r="I1384" s="22">
        <f t="shared" si="752"/>
        <v>84.375</v>
      </c>
      <c r="J1384" s="22">
        <f t="shared" si="753"/>
        <v>100</v>
      </c>
    </row>
    <row r="1385" spans="1:10" s="92" customFormat="1">
      <c r="A1385" s="59" t="s">
        <v>82</v>
      </c>
      <c r="B1385" s="29" t="s">
        <v>1269</v>
      </c>
      <c r="C1385" s="28">
        <v>620</v>
      </c>
      <c r="D1385" s="22">
        <v>0</v>
      </c>
      <c r="E1385" s="22">
        <f>ведомство!H1769</f>
        <v>5000</v>
      </c>
      <c r="F1385" s="22">
        <f>ведомство!I1769</f>
        <v>0</v>
      </c>
      <c r="G1385" s="22">
        <f>ведомство!J1769</f>
        <v>0</v>
      </c>
      <c r="H1385" s="22">
        <f>ведомство!K1769</f>
        <v>0</v>
      </c>
      <c r="I1385" s="22">
        <f t="shared" si="752"/>
        <v>0</v>
      </c>
      <c r="J1385" s="22">
        <v>0</v>
      </c>
    </row>
    <row r="1386" spans="1:10" s="92" customFormat="1" ht="25.5">
      <c r="A1386" s="59" t="s">
        <v>195</v>
      </c>
      <c r="B1386" s="29" t="s">
        <v>1269</v>
      </c>
      <c r="C1386" s="28">
        <v>630</v>
      </c>
      <c r="D1386" s="22">
        <v>0</v>
      </c>
      <c r="E1386" s="22">
        <f>ведомство!H1770</f>
        <v>27000</v>
      </c>
      <c r="F1386" s="22">
        <f>ведомство!I1770</f>
        <v>27000</v>
      </c>
      <c r="G1386" s="22">
        <f>ведомство!J1770</f>
        <v>27000</v>
      </c>
      <c r="H1386" s="22">
        <f>ведомство!K1770</f>
        <v>27000</v>
      </c>
      <c r="I1386" s="22">
        <f t="shared" si="752"/>
        <v>100</v>
      </c>
      <c r="J1386" s="22">
        <f t="shared" si="753"/>
        <v>100</v>
      </c>
    </row>
    <row r="1387" spans="1:10" s="92" customFormat="1">
      <c r="A1387" s="59" t="s">
        <v>72</v>
      </c>
      <c r="B1387" s="29" t="s">
        <v>1269</v>
      </c>
      <c r="C1387" s="28">
        <v>800</v>
      </c>
      <c r="D1387" s="22">
        <v>0</v>
      </c>
      <c r="E1387" s="22">
        <f>E1388</f>
        <v>26499.3</v>
      </c>
      <c r="F1387" s="22">
        <f t="shared" ref="F1387:G1387" si="756">F1388</f>
        <v>2499.3589999999999</v>
      </c>
      <c r="G1387" s="22">
        <f t="shared" si="756"/>
        <v>2499.3589999999999</v>
      </c>
      <c r="H1387" s="22">
        <f>H1388</f>
        <v>2499.3589999999999</v>
      </c>
      <c r="I1387" s="22">
        <f t="shared" si="752"/>
        <v>9.4317925379160972</v>
      </c>
      <c r="J1387" s="22">
        <f t="shared" si="753"/>
        <v>100</v>
      </c>
    </row>
    <row r="1388" spans="1:10" s="92" customFormat="1" ht="38.25">
      <c r="A1388" s="59" t="s">
        <v>218</v>
      </c>
      <c r="B1388" s="29" t="s">
        <v>1269</v>
      </c>
      <c r="C1388" s="28">
        <v>810</v>
      </c>
      <c r="D1388" s="22">
        <v>0</v>
      </c>
      <c r="E1388" s="22">
        <f>ведомство!H1772</f>
        <v>26499.3</v>
      </c>
      <c r="F1388" s="22">
        <f>ведомство!I1772</f>
        <v>2499.3589999999999</v>
      </c>
      <c r="G1388" s="22">
        <f>ведомство!J1772</f>
        <v>2499.3589999999999</v>
      </c>
      <c r="H1388" s="22">
        <f>ведомство!K1772</f>
        <v>2499.3589999999999</v>
      </c>
      <c r="I1388" s="22">
        <f t="shared" si="752"/>
        <v>9.4317925379160972</v>
      </c>
      <c r="J1388" s="22">
        <f t="shared" si="753"/>
        <v>100</v>
      </c>
    </row>
    <row r="1389" spans="1:10" s="92" customFormat="1">
      <c r="A1389" s="62" t="s">
        <v>1277</v>
      </c>
      <c r="B1389" s="29" t="s">
        <v>1276</v>
      </c>
      <c r="C1389" s="58"/>
      <c r="D1389" s="7"/>
      <c r="E1389" s="22">
        <f>E1390</f>
        <v>2753.1129999999998</v>
      </c>
      <c r="F1389" s="22">
        <f t="shared" ref="F1389:G1390" si="757">F1390</f>
        <v>0</v>
      </c>
      <c r="G1389" s="22">
        <f t="shared" si="757"/>
        <v>0</v>
      </c>
      <c r="H1389" s="22">
        <f>H1390</f>
        <v>0</v>
      </c>
      <c r="I1389" s="22">
        <f t="shared" ref="I1389:I1391" si="758">H1389/E1389*100</f>
        <v>0</v>
      </c>
      <c r="J1389" s="22">
        <v>0</v>
      </c>
    </row>
    <row r="1390" spans="1:10" s="92" customFormat="1" ht="25.5">
      <c r="A1390" s="59" t="s">
        <v>80</v>
      </c>
      <c r="B1390" s="29" t="s">
        <v>1276</v>
      </c>
      <c r="C1390" s="28">
        <v>600</v>
      </c>
      <c r="D1390" s="7"/>
      <c r="E1390" s="22">
        <f>E1391</f>
        <v>2753.1129999999998</v>
      </c>
      <c r="F1390" s="22">
        <f t="shared" si="757"/>
        <v>0</v>
      </c>
      <c r="G1390" s="22">
        <f t="shared" si="757"/>
        <v>0</v>
      </c>
      <c r="H1390" s="22">
        <f>H1391</f>
        <v>0</v>
      </c>
      <c r="I1390" s="22">
        <f t="shared" si="758"/>
        <v>0</v>
      </c>
      <c r="J1390" s="22">
        <v>0</v>
      </c>
    </row>
    <row r="1391" spans="1:10" s="92" customFormat="1">
      <c r="A1391" s="59" t="s">
        <v>82</v>
      </c>
      <c r="B1391" s="29" t="s">
        <v>1276</v>
      </c>
      <c r="C1391" s="28">
        <v>620</v>
      </c>
      <c r="D1391" s="7"/>
      <c r="E1391" s="22">
        <f>ведомство!H2577</f>
        <v>2753.1129999999998</v>
      </c>
      <c r="F1391" s="22">
        <f>ведомство!I2577</f>
        <v>0</v>
      </c>
      <c r="G1391" s="22">
        <f>ведомство!J2577</f>
        <v>0</v>
      </c>
      <c r="H1391" s="22">
        <f>ведомство!K2577</f>
        <v>0</v>
      </c>
      <c r="I1391" s="22">
        <f t="shared" si="758"/>
        <v>0</v>
      </c>
      <c r="J1391" s="22">
        <v>0</v>
      </c>
    </row>
    <row r="1392" spans="1:10" ht="25.5">
      <c r="A1392" s="8" t="s">
        <v>76</v>
      </c>
      <c r="B1392" s="1" t="s">
        <v>727</v>
      </c>
      <c r="C1392" s="1" t="s">
        <v>0</v>
      </c>
      <c r="D1392" s="9">
        <f>D1393</f>
        <v>5627</v>
      </c>
      <c r="E1392" s="9">
        <f>E1393</f>
        <v>5627</v>
      </c>
      <c r="F1392" s="9">
        <f t="shared" ref="F1392:G1393" si="759">F1393</f>
        <v>4216.9440000000004</v>
      </c>
      <c r="G1392" s="9">
        <f t="shared" si="759"/>
        <v>4216.9440000000004</v>
      </c>
      <c r="H1392" s="9">
        <f>H1393</f>
        <v>4216.9440000000004</v>
      </c>
      <c r="I1392" s="9">
        <f t="shared" si="734"/>
        <v>74.9412475564244</v>
      </c>
      <c r="J1392" s="9">
        <f t="shared" si="735"/>
        <v>100</v>
      </c>
    </row>
    <row r="1393" spans="1:10" ht="25.5">
      <c r="A1393" s="8" t="s">
        <v>80</v>
      </c>
      <c r="B1393" s="1" t="s">
        <v>727</v>
      </c>
      <c r="C1393" s="1" t="s">
        <v>81</v>
      </c>
      <c r="D1393" s="9">
        <f>D1394</f>
        <v>5627</v>
      </c>
      <c r="E1393" s="9">
        <f>E1394</f>
        <v>5627</v>
      </c>
      <c r="F1393" s="9">
        <f t="shared" si="759"/>
        <v>4216.9440000000004</v>
      </c>
      <c r="G1393" s="9">
        <f t="shared" si="759"/>
        <v>4216.9440000000004</v>
      </c>
      <c r="H1393" s="9">
        <f>H1394</f>
        <v>4216.9440000000004</v>
      </c>
      <c r="I1393" s="9">
        <f t="shared" si="734"/>
        <v>74.9412475564244</v>
      </c>
      <c r="J1393" s="9">
        <f t="shared" si="735"/>
        <v>100</v>
      </c>
    </row>
    <row r="1394" spans="1:10">
      <c r="A1394" s="8" t="s">
        <v>82</v>
      </c>
      <c r="B1394" s="1" t="s">
        <v>727</v>
      </c>
      <c r="C1394" s="1" t="s">
        <v>83</v>
      </c>
      <c r="D1394" s="9">
        <f>ведомство!G1775</f>
        <v>5627</v>
      </c>
      <c r="E1394" s="9">
        <f>ведомство!H1775</f>
        <v>5627</v>
      </c>
      <c r="F1394" s="9">
        <f>ведомство!I1775</f>
        <v>4216.9440000000004</v>
      </c>
      <c r="G1394" s="9">
        <f>ведомство!J1775</f>
        <v>4216.9440000000004</v>
      </c>
      <c r="H1394" s="9">
        <f>ведомство!K1775</f>
        <v>4216.9440000000004</v>
      </c>
      <c r="I1394" s="9">
        <f t="shared" si="734"/>
        <v>74.9412475564244</v>
      </c>
      <c r="J1394" s="9">
        <f t="shared" si="735"/>
        <v>100</v>
      </c>
    </row>
    <row r="1395" spans="1:10" ht="25.5">
      <c r="A1395" s="8" t="s">
        <v>728</v>
      </c>
      <c r="B1395" s="1" t="s">
        <v>729</v>
      </c>
      <c r="C1395" s="1" t="s">
        <v>0</v>
      </c>
      <c r="D1395" s="9">
        <f>D1396</f>
        <v>3805</v>
      </c>
      <c r="E1395" s="9">
        <f>E1396</f>
        <v>3805</v>
      </c>
      <c r="F1395" s="9">
        <f t="shared" ref="F1395:G1396" si="760">F1396</f>
        <v>1544.2</v>
      </c>
      <c r="G1395" s="9">
        <f t="shared" si="760"/>
        <v>1544.2</v>
      </c>
      <c r="H1395" s="9">
        <f>H1396</f>
        <v>1544.2</v>
      </c>
      <c r="I1395" s="9">
        <f t="shared" si="734"/>
        <v>40.583442838370566</v>
      </c>
      <c r="J1395" s="9">
        <f t="shared" si="735"/>
        <v>100</v>
      </c>
    </row>
    <row r="1396" spans="1:10" ht="25.5">
      <c r="A1396" s="8" t="s">
        <v>64</v>
      </c>
      <c r="B1396" s="1" t="s">
        <v>729</v>
      </c>
      <c r="C1396" s="1" t="s">
        <v>65</v>
      </c>
      <c r="D1396" s="9">
        <f>D1397</f>
        <v>3805</v>
      </c>
      <c r="E1396" s="9">
        <f>E1397</f>
        <v>3805</v>
      </c>
      <c r="F1396" s="9">
        <f t="shared" si="760"/>
        <v>1544.2</v>
      </c>
      <c r="G1396" s="9">
        <f t="shared" si="760"/>
        <v>1544.2</v>
      </c>
      <c r="H1396" s="9">
        <f>H1397</f>
        <v>1544.2</v>
      </c>
      <c r="I1396" s="9">
        <f t="shared" si="734"/>
        <v>40.583442838370566</v>
      </c>
      <c r="J1396" s="9">
        <f t="shared" si="735"/>
        <v>100</v>
      </c>
    </row>
    <row r="1397" spans="1:10" ht="25.5">
      <c r="A1397" s="8" t="s">
        <v>66</v>
      </c>
      <c r="B1397" s="1" t="s">
        <v>729</v>
      </c>
      <c r="C1397" s="1" t="s">
        <v>67</v>
      </c>
      <c r="D1397" s="9">
        <f>ведомство!G1778</f>
        <v>3805</v>
      </c>
      <c r="E1397" s="9">
        <f>ведомство!H1778</f>
        <v>3805</v>
      </c>
      <c r="F1397" s="9">
        <f>ведомство!I1778</f>
        <v>1544.2</v>
      </c>
      <c r="G1397" s="9">
        <f>ведомство!J1778</f>
        <v>1544.2</v>
      </c>
      <c r="H1397" s="9">
        <f>ведомство!K1778</f>
        <v>1544.2</v>
      </c>
      <c r="I1397" s="9">
        <f t="shared" si="734"/>
        <v>40.583442838370566</v>
      </c>
      <c r="J1397" s="9">
        <f t="shared" si="735"/>
        <v>100</v>
      </c>
    </row>
    <row r="1398" spans="1:10" ht="38.25">
      <c r="A1398" s="8" t="s">
        <v>730</v>
      </c>
      <c r="B1398" s="1" t="s">
        <v>731</v>
      </c>
      <c r="C1398" s="1" t="s">
        <v>0</v>
      </c>
      <c r="D1398" s="9">
        <f>D1399+D1401+D1404</f>
        <v>39411.199999999997</v>
      </c>
      <c r="E1398" s="9">
        <f>E1399+E1401+E1404</f>
        <v>39411.199999999997</v>
      </c>
      <c r="F1398" s="9">
        <f t="shared" ref="F1398:G1398" si="761">F1399+F1401+F1404</f>
        <v>8378.869999999999</v>
      </c>
      <c r="G1398" s="9">
        <f t="shared" si="761"/>
        <v>8378.869999999999</v>
      </c>
      <c r="H1398" s="9">
        <f>H1399+H1401+H1404</f>
        <v>8378.869999999999</v>
      </c>
      <c r="I1398" s="9">
        <f t="shared" si="734"/>
        <v>21.260124025657682</v>
      </c>
      <c r="J1398" s="9">
        <f t="shared" si="735"/>
        <v>100</v>
      </c>
    </row>
    <row r="1399" spans="1:10">
      <c r="A1399" s="8" t="s">
        <v>26</v>
      </c>
      <c r="B1399" s="1" t="s">
        <v>731</v>
      </c>
      <c r="C1399" s="1" t="s">
        <v>27</v>
      </c>
      <c r="D1399" s="9">
        <f>D1400</f>
        <v>14211</v>
      </c>
      <c r="E1399" s="9">
        <f>E1400</f>
        <v>14211</v>
      </c>
      <c r="F1399" s="9">
        <f t="shared" ref="F1399:G1399" si="762">F1400</f>
        <v>0</v>
      </c>
      <c r="G1399" s="9">
        <f t="shared" si="762"/>
        <v>0</v>
      </c>
      <c r="H1399" s="9">
        <f>H1400</f>
        <v>0</v>
      </c>
      <c r="I1399" s="9">
        <f t="shared" si="734"/>
        <v>0</v>
      </c>
      <c r="J1399" s="9">
        <v>0</v>
      </c>
    </row>
    <row r="1400" spans="1:10">
      <c r="A1400" s="8" t="s">
        <v>56</v>
      </c>
      <c r="B1400" s="1" t="s">
        <v>731</v>
      </c>
      <c r="C1400" s="1" t="s">
        <v>57</v>
      </c>
      <c r="D1400" s="9">
        <f>ведомство!G1781</f>
        <v>14211</v>
      </c>
      <c r="E1400" s="9">
        <f>ведомство!H1781</f>
        <v>14211</v>
      </c>
      <c r="F1400" s="9">
        <f>ведомство!I1781</f>
        <v>0</v>
      </c>
      <c r="G1400" s="9">
        <f>ведомство!J1781</f>
        <v>0</v>
      </c>
      <c r="H1400" s="9">
        <f>ведомство!K1781</f>
        <v>0</v>
      </c>
      <c r="I1400" s="9">
        <f t="shared" si="734"/>
        <v>0</v>
      </c>
      <c r="J1400" s="9">
        <v>0</v>
      </c>
    </row>
    <row r="1401" spans="1:10" ht="25.5">
      <c r="A1401" s="8" t="s">
        <v>80</v>
      </c>
      <c r="B1401" s="1" t="s">
        <v>731</v>
      </c>
      <c r="C1401" s="1" t="s">
        <v>81</v>
      </c>
      <c r="D1401" s="9">
        <f>D1402+D1403</f>
        <v>7755.2</v>
      </c>
      <c r="E1401" s="9">
        <f>E1402+E1403</f>
        <v>7755.2</v>
      </c>
      <c r="F1401" s="9">
        <f t="shared" ref="F1401:G1401" si="763">F1402+F1403</f>
        <v>7378.87</v>
      </c>
      <c r="G1401" s="9">
        <f t="shared" si="763"/>
        <v>7378.87</v>
      </c>
      <c r="H1401" s="9">
        <f>H1402+H1403</f>
        <v>7378.87</v>
      </c>
      <c r="I1401" s="9">
        <f t="shared" si="734"/>
        <v>95.147384980400247</v>
      </c>
      <c r="J1401" s="9">
        <f t="shared" si="735"/>
        <v>100</v>
      </c>
    </row>
    <row r="1402" spans="1:10">
      <c r="A1402" s="8" t="s">
        <v>82</v>
      </c>
      <c r="B1402" s="1" t="s">
        <v>731</v>
      </c>
      <c r="C1402" s="1" t="s">
        <v>83</v>
      </c>
      <c r="D1402" s="9">
        <f>ведомство!G1783+ведомство!G2580</f>
        <v>2755.2</v>
      </c>
      <c r="E1402" s="9">
        <f>ведомство!H1783+ведомство!H2580</f>
        <v>2755.2</v>
      </c>
      <c r="F1402" s="9">
        <f>ведомство!I1783+ведомство!I2580</f>
        <v>2378.87</v>
      </c>
      <c r="G1402" s="9">
        <f>ведомство!J1783+ведомство!J2580</f>
        <v>2378.87</v>
      </c>
      <c r="H1402" s="9">
        <f>ведомство!K1783+ведомство!K2580</f>
        <v>2378.87</v>
      </c>
      <c r="I1402" s="9">
        <f t="shared" si="734"/>
        <v>86.341100464576087</v>
      </c>
      <c r="J1402" s="9">
        <f t="shared" si="735"/>
        <v>100</v>
      </c>
    </row>
    <row r="1403" spans="1:10" ht="25.5">
      <c r="A1403" s="8" t="s">
        <v>195</v>
      </c>
      <c r="B1403" s="1" t="s">
        <v>731</v>
      </c>
      <c r="C1403" s="1" t="s">
        <v>196</v>
      </c>
      <c r="D1403" s="9">
        <f>ведомство!G1784</f>
        <v>5000</v>
      </c>
      <c r="E1403" s="9">
        <f>ведомство!H1784</f>
        <v>5000</v>
      </c>
      <c r="F1403" s="9">
        <f>ведомство!I1784</f>
        <v>5000</v>
      </c>
      <c r="G1403" s="9">
        <f>ведомство!J1784</f>
        <v>5000</v>
      </c>
      <c r="H1403" s="9">
        <f>ведомство!K1784</f>
        <v>5000</v>
      </c>
      <c r="I1403" s="9">
        <f t="shared" si="734"/>
        <v>100</v>
      </c>
      <c r="J1403" s="9">
        <f t="shared" si="735"/>
        <v>100</v>
      </c>
    </row>
    <row r="1404" spans="1:10">
      <c r="A1404" s="8" t="s">
        <v>72</v>
      </c>
      <c r="B1404" s="1" t="s">
        <v>731</v>
      </c>
      <c r="C1404" s="1" t="s">
        <v>73</v>
      </c>
      <c r="D1404" s="9">
        <f>D1405</f>
        <v>17445</v>
      </c>
      <c r="E1404" s="9">
        <f>E1405</f>
        <v>17445</v>
      </c>
      <c r="F1404" s="9">
        <f t="shared" ref="F1404:G1404" si="764">F1405</f>
        <v>1000</v>
      </c>
      <c r="G1404" s="9">
        <f t="shared" si="764"/>
        <v>1000</v>
      </c>
      <c r="H1404" s="9">
        <f>H1405</f>
        <v>1000</v>
      </c>
      <c r="I1404" s="9">
        <f t="shared" si="734"/>
        <v>5.7323015190599031</v>
      </c>
      <c r="J1404" s="9">
        <f t="shared" si="735"/>
        <v>100</v>
      </c>
    </row>
    <row r="1405" spans="1:10" ht="38.25">
      <c r="A1405" s="8" t="s">
        <v>218</v>
      </c>
      <c r="B1405" s="1" t="s">
        <v>731</v>
      </c>
      <c r="C1405" s="1" t="s">
        <v>219</v>
      </c>
      <c r="D1405" s="9">
        <f>ведомство!G1786</f>
        <v>17445</v>
      </c>
      <c r="E1405" s="9">
        <f>ведомство!H1786</f>
        <v>17445</v>
      </c>
      <c r="F1405" s="9">
        <f>ведомство!I1786</f>
        <v>1000</v>
      </c>
      <c r="G1405" s="9">
        <f>ведомство!J1786</f>
        <v>1000</v>
      </c>
      <c r="H1405" s="9">
        <f>ведомство!K1786</f>
        <v>1000</v>
      </c>
      <c r="I1405" s="9">
        <f t="shared" si="734"/>
        <v>5.7323015190599031</v>
      </c>
      <c r="J1405" s="9">
        <f t="shared" si="735"/>
        <v>100</v>
      </c>
    </row>
    <row r="1406" spans="1:10">
      <c r="A1406" s="4" t="s">
        <v>0</v>
      </c>
      <c r="B1406" s="17" t="s">
        <v>0</v>
      </c>
      <c r="C1406" s="5" t="s">
        <v>0</v>
      </c>
      <c r="D1406" s="7" t="s">
        <v>0</v>
      </c>
      <c r="E1406" s="7" t="s">
        <v>0</v>
      </c>
      <c r="F1406" s="7" t="s">
        <v>0</v>
      </c>
      <c r="G1406" s="7" t="s">
        <v>0</v>
      </c>
      <c r="H1406" s="7" t="s">
        <v>0</v>
      </c>
      <c r="I1406" s="7"/>
      <c r="J1406" s="7"/>
    </row>
    <row r="1407" spans="1:10" ht="25.5">
      <c r="A1407" s="4" t="s">
        <v>715</v>
      </c>
      <c r="B1407" s="5" t="s">
        <v>716</v>
      </c>
      <c r="C1407" s="5" t="s">
        <v>0</v>
      </c>
      <c r="D1407" s="7">
        <f>D1408+D1415</f>
        <v>56293.939999999995</v>
      </c>
      <c r="E1407" s="7">
        <f>E1408+E1415</f>
        <v>59811.406999999999</v>
      </c>
      <c r="F1407" s="7">
        <f t="shared" ref="F1407:G1407" si="765">F1408+F1415</f>
        <v>38755.295579999991</v>
      </c>
      <c r="G1407" s="7">
        <f t="shared" si="765"/>
        <v>38755.295549999995</v>
      </c>
      <c r="H1407" s="7">
        <f>H1408+H1415</f>
        <v>36987.056599999996</v>
      </c>
      <c r="I1407" s="7">
        <f t="shared" si="734"/>
        <v>61.83946918352882</v>
      </c>
      <c r="J1407" s="7">
        <f t="shared" si="735"/>
        <v>95.437426154188572</v>
      </c>
    </row>
    <row r="1408" spans="1:10" ht="25.5">
      <c r="A1408" s="8" t="s">
        <v>58</v>
      </c>
      <c r="B1408" s="1" t="s">
        <v>717</v>
      </c>
      <c r="C1408" s="1" t="s">
        <v>0</v>
      </c>
      <c r="D1408" s="9">
        <f>D1409+D1411+D1413</f>
        <v>49987.439999999995</v>
      </c>
      <c r="E1408" s="9">
        <f>E1409+E1411+E1413</f>
        <v>53504.906999999999</v>
      </c>
      <c r="F1408" s="9">
        <f t="shared" ref="F1408:G1408" si="766">F1409+F1411+F1413</f>
        <v>36900.255549999994</v>
      </c>
      <c r="G1408" s="9">
        <f t="shared" si="766"/>
        <v>36900.255519999999</v>
      </c>
      <c r="H1408" s="9">
        <f>H1409+H1411+H1413</f>
        <v>35132.01657</v>
      </c>
      <c r="I1408" s="9">
        <f t="shared" si="734"/>
        <v>65.661298261858491</v>
      </c>
      <c r="J1408" s="9">
        <f t="shared" si="735"/>
        <v>95.208057630917963</v>
      </c>
    </row>
    <row r="1409" spans="1:10" ht="51">
      <c r="A1409" s="8" t="s">
        <v>60</v>
      </c>
      <c r="B1409" s="1" t="s">
        <v>717</v>
      </c>
      <c r="C1409" s="1" t="s">
        <v>61</v>
      </c>
      <c r="D1409" s="9">
        <f>D1410</f>
        <v>44719.199999999997</v>
      </c>
      <c r="E1409" s="9">
        <f>E1410</f>
        <v>48265.756999999998</v>
      </c>
      <c r="F1409" s="9">
        <f t="shared" ref="F1409:G1409" si="767">F1410</f>
        <v>34324.199999999997</v>
      </c>
      <c r="G1409" s="9">
        <f t="shared" si="767"/>
        <v>34324.199999999997</v>
      </c>
      <c r="H1409" s="9">
        <f>H1410</f>
        <v>32688.380539999995</v>
      </c>
      <c r="I1409" s="9">
        <f t="shared" si="734"/>
        <v>67.725821724913587</v>
      </c>
      <c r="J1409" s="9">
        <f t="shared" si="735"/>
        <v>95.234209508160419</v>
      </c>
    </row>
    <row r="1410" spans="1:10" ht="25.5">
      <c r="A1410" s="8" t="s">
        <v>62</v>
      </c>
      <c r="B1410" s="1" t="s">
        <v>717</v>
      </c>
      <c r="C1410" s="1" t="s">
        <v>63</v>
      </c>
      <c r="D1410" s="9">
        <f>ведомство!G1743+ведомство!G2975</f>
        <v>44719.199999999997</v>
      </c>
      <c r="E1410" s="9">
        <f>ведомство!H1743+ведомство!H2975</f>
        <v>48265.756999999998</v>
      </c>
      <c r="F1410" s="9">
        <f>ведомство!I1743+ведомство!I2975</f>
        <v>34324.199999999997</v>
      </c>
      <c r="G1410" s="9">
        <f>ведомство!J1743+ведомство!J2975</f>
        <v>34324.199999999997</v>
      </c>
      <c r="H1410" s="9">
        <f>ведомство!K1743+ведомство!K2975</f>
        <v>32688.380539999995</v>
      </c>
      <c r="I1410" s="9">
        <f t="shared" si="734"/>
        <v>67.725821724913587</v>
      </c>
      <c r="J1410" s="9">
        <f t="shared" si="735"/>
        <v>95.234209508160419</v>
      </c>
    </row>
    <row r="1411" spans="1:10" ht="25.5">
      <c r="A1411" s="8" t="s">
        <v>64</v>
      </c>
      <c r="B1411" s="1" t="s">
        <v>717</v>
      </c>
      <c r="C1411" s="1" t="s">
        <v>65</v>
      </c>
      <c r="D1411" s="9">
        <f>D1412</f>
        <v>5243.7</v>
      </c>
      <c r="E1411" s="9">
        <f>E1412</f>
        <v>5214.6499999999996</v>
      </c>
      <c r="F1411" s="9">
        <f t="shared" ref="F1411:G1411" si="768">F1412</f>
        <v>2559</v>
      </c>
      <c r="G1411" s="9">
        <f t="shared" si="768"/>
        <v>2559</v>
      </c>
      <c r="H1411" s="9">
        <f>H1412</f>
        <v>2426.5805099999998</v>
      </c>
      <c r="I1411" s="9">
        <f t="shared" si="734"/>
        <v>46.533909466598907</v>
      </c>
      <c r="J1411" s="9">
        <f t="shared" si="735"/>
        <v>94.825342321219225</v>
      </c>
    </row>
    <row r="1412" spans="1:10" ht="25.5">
      <c r="A1412" s="8" t="s">
        <v>66</v>
      </c>
      <c r="B1412" s="1" t="s">
        <v>717</v>
      </c>
      <c r="C1412" s="1" t="s">
        <v>67</v>
      </c>
      <c r="D1412" s="9">
        <f>ведомство!G2977+ведомство!G1745</f>
        <v>5243.7</v>
      </c>
      <c r="E1412" s="9">
        <f>ведомство!H2977+ведомство!H1745</f>
        <v>5214.6499999999996</v>
      </c>
      <c r="F1412" s="9">
        <f>ведомство!I2977+ведомство!I1745</f>
        <v>2559</v>
      </c>
      <c r="G1412" s="9">
        <f>ведомство!J2977+ведомство!J1745</f>
        <v>2559</v>
      </c>
      <c r="H1412" s="9">
        <f>ведомство!K2977+ведомство!K1745</f>
        <v>2426.5805099999998</v>
      </c>
      <c r="I1412" s="9">
        <f t="shared" si="734"/>
        <v>46.533909466598907</v>
      </c>
      <c r="J1412" s="9">
        <f t="shared" si="735"/>
        <v>94.825342321219225</v>
      </c>
    </row>
    <row r="1413" spans="1:10">
      <c r="A1413" s="8" t="s">
        <v>72</v>
      </c>
      <c r="B1413" s="1" t="s">
        <v>717</v>
      </c>
      <c r="C1413" s="1" t="s">
        <v>73</v>
      </c>
      <c r="D1413" s="9">
        <f>D1414</f>
        <v>24.54</v>
      </c>
      <c r="E1413" s="9">
        <f>E1414</f>
        <v>24.5</v>
      </c>
      <c r="F1413" s="9">
        <f t="shared" ref="F1413:G1413" si="769">F1414</f>
        <v>17.05555</v>
      </c>
      <c r="G1413" s="9">
        <f t="shared" si="769"/>
        <v>17.055520000000001</v>
      </c>
      <c r="H1413" s="9">
        <f>H1414</f>
        <v>17.055520000000001</v>
      </c>
      <c r="I1413" s="9">
        <f t="shared" si="734"/>
        <v>69.614367346938778</v>
      </c>
      <c r="J1413" s="9">
        <f t="shared" si="735"/>
        <v>99.999824104177236</v>
      </c>
    </row>
    <row r="1414" spans="1:10">
      <c r="A1414" s="8" t="s">
        <v>74</v>
      </c>
      <c r="B1414" s="1" t="s">
        <v>717</v>
      </c>
      <c r="C1414" s="1" t="s">
        <v>75</v>
      </c>
      <c r="D1414" s="9">
        <f>ведомство!G1747+ведомство!G2979</f>
        <v>24.54</v>
      </c>
      <c r="E1414" s="9">
        <f>ведомство!H1747+ведомство!H2979</f>
        <v>24.5</v>
      </c>
      <c r="F1414" s="9">
        <f>ведомство!I1747+ведомство!I2979</f>
        <v>17.05555</v>
      </c>
      <c r="G1414" s="9">
        <f>ведомство!J1747+ведомство!J2979</f>
        <v>17.055520000000001</v>
      </c>
      <c r="H1414" s="9">
        <f>ведомство!K1747+ведомство!K2979</f>
        <v>17.055520000000001</v>
      </c>
      <c r="I1414" s="9">
        <f t="shared" si="734"/>
        <v>69.614367346938778</v>
      </c>
      <c r="J1414" s="9">
        <f t="shared" si="735"/>
        <v>99.999824104177236</v>
      </c>
    </row>
    <row r="1415" spans="1:10">
      <c r="A1415" s="8" t="s">
        <v>609</v>
      </c>
      <c r="B1415" s="1" t="s">
        <v>718</v>
      </c>
      <c r="C1415" s="1" t="s">
        <v>0</v>
      </c>
      <c r="D1415" s="9">
        <f>D1416</f>
        <v>6306.5</v>
      </c>
      <c r="E1415" s="9">
        <f>E1416</f>
        <v>6306.5</v>
      </c>
      <c r="F1415" s="9">
        <f t="shared" ref="F1415:G1416" si="770">F1416</f>
        <v>1855.0400299999999</v>
      </c>
      <c r="G1415" s="9">
        <f t="shared" si="770"/>
        <v>1855.0400299999999</v>
      </c>
      <c r="H1415" s="9">
        <f>H1416</f>
        <v>1855.0400299999999</v>
      </c>
      <c r="I1415" s="9">
        <f t="shared" si="734"/>
        <v>29.414731308966935</v>
      </c>
      <c r="J1415" s="9">
        <f t="shared" si="735"/>
        <v>100</v>
      </c>
    </row>
    <row r="1416" spans="1:10" ht="25.5">
      <c r="A1416" s="8" t="s">
        <v>64</v>
      </c>
      <c r="B1416" s="1" t="s">
        <v>718</v>
      </c>
      <c r="C1416" s="1" t="s">
        <v>65</v>
      </c>
      <c r="D1416" s="9">
        <f>D1417</f>
        <v>6306.5</v>
      </c>
      <c r="E1416" s="9">
        <f>E1417</f>
        <v>6306.5</v>
      </c>
      <c r="F1416" s="9">
        <f t="shared" si="770"/>
        <v>1855.0400299999999</v>
      </c>
      <c r="G1416" s="9">
        <f t="shared" si="770"/>
        <v>1855.0400299999999</v>
      </c>
      <c r="H1416" s="9">
        <f>H1417</f>
        <v>1855.0400299999999</v>
      </c>
      <c r="I1416" s="9">
        <f t="shared" si="734"/>
        <v>29.414731308966935</v>
      </c>
      <c r="J1416" s="9">
        <f t="shared" si="735"/>
        <v>100</v>
      </c>
    </row>
    <row r="1417" spans="1:10" ht="25.5">
      <c r="A1417" s="8" t="s">
        <v>66</v>
      </c>
      <c r="B1417" s="1" t="s">
        <v>718</v>
      </c>
      <c r="C1417" s="1" t="s">
        <v>67</v>
      </c>
      <c r="D1417" s="9">
        <f>ведомство!G1750</f>
        <v>6306.5</v>
      </c>
      <c r="E1417" s="9">
        <f>ведомство!H1750</f>
        <v>6306.5</v>
      </c>
      <c r="F1417" s="9">
        <f>ведомство!I1750</f>
        <v>1855.0400299999999</v>
      </c>
      <c r="G1417" s="9">
        <f>ведомство!J1750</f>
        <v>1855.0400299999999</v>
      </c>
      <c r="H1417" s="9">
        <f>ведомство!K1750</f>
        <v>1855.0400299999999</v>
      </c>
      <c r="I1417" s="9">
        <f t="shared" si="734"/>
        <v>29.414731308966935</v>
      </c>
      <c r="J1417" s="9">
        <f t="shared" si="735"/>
        <v>100</v>
      </c>
    </row>
    <row r="1418" spans="1:10">
      <c r="A1418" s="4" t="s">
        <v>0</v>
      </c>
      <c r="B1418" s="17" t="s">
        <v>0</v>
      </c>
      <c r="C1418" s="5" t="s">
        <v>0</v>
      </c>
      <c r="D1418" s="7" t="s">
        <v>0</v>
      </c>
      <c r="E1418" s="7" t="s">
        <v>0</v>
      </c>
      <c r="F1418" s="7" t="s">
        <v>0</v>
      </c>
      <c r="G1418" s="7" t="s">
        <v>0</v>
      </c>
      <c r="H1418" s="7" t="s">
        <v>0</v>
      </c>
      <c r="I1418" s="7"/>
      <c r="J1418" s="7"/>
    </row>
    <row r="1419" spans="1:10" ht="25.5">
      <c r="A1419" s="4" t="s">
        <v>1094</v>
      </c>
      <c r="B1419" s="5" t="s">
        <v>1095</v>
      </c>
      <c r="C1419" s="5" t="s">
        <v>0</v>
      </c>
      <c r="D1419" s="46">
        <f>D1420+D1427</f>
        <v>57519.099999999991</v>
      </c>
      <c r="E1419" s="46">
        <f>E1420+E1427</f>
        <v>57519.099999999991</v>
      </c>
      <c r="F1419" s="46">
        <f t="shared" ref="F1419:G1419" si="771">F1420+F1427</f>
        <v>46584.405999999995</v>
      </c>
      <c r="G1419" s="46">
        <f t="shared" si="771"/>
        <v>46584.405999999995</v>
      </c>
      <c r="H1419" s="46">
        <f>H1420+H1427</f>
        <v>40057.871930000001</v>
      </c>
      <c r="I1419" s="7">
        <f t="shared" si="734"/>
        <v>69.642730727706109</v>
      </c>
      <c r="J1419" s="7">
        <f t="shared" si="735"/>
        <v>85.989873800258408</v>
      </c>
    </row>
    <row r="1420" spans="1:10" ht="25.5">
      <c r="A1420" s="8" t="s">
        <v>58</v>
      </c>
      <c r="B1420" s="1" t="s">
        <v>1096</v>
      </c>
      <c r="C1420" s="1" t="s">
        <v>0</v>
      </c>
      <c r="D1420" s="9">
        <f>D1421+D1423+D1425</f>
        <v>44070.999999999993</v>
      </c>
      <c r="E1420" s="9">
        <f>E1421+E1423+E1425</f>
        <v>44070.999999999993</v>
      </c>
      <c r="F1420" s="9">
        <f t="shared" ref="F1420:G1420" si="772">F1421+F1423+F1425</f>
        <v>35763.199999999997</v>
      </c>
      <c r="G1420" s="9">
        <f t="shared" si="772"/>
        <v>35763.199999999997</v>
      </c>
      <c r="H1420" s="9">
        <f>H1421+H1423+H1425</f>
        <v>30901.423310000002</v>
      </c>
      <c r="I1420" s="9">
        <f t="shared" si="734"/>
        <v>70.117363595107904</v>
      </c>
      <c r="J1420" s="9">
        <f t="shared" si="735"/>
        <v>86.405644097843606</v>
      </c>
    </row>
    <row r="1421" spans="1:10" ht="51">
      <c r="A1421" s="8" t="s">
        <v>60</v>
      </c>
      <c r="B1421" s="1" t="s">
        <v>1096</v>
      </c>
      <c r="C1421" s="1" t="s">
        <v>61</v>
      </c>
      <c r="D1421" s="9">
        <f>D1422</f>
        <v>42342.2</v>
      </c>
      <c r="E1421" s="9">
        <f>E1422</f>
        <v>42342.2</v>
      </c>
      <c r="F1421" s="9">
        <f t="shared" ref="F1421:G1421" si="773">F1422</f>
        <v>34133</v>
      </c>
      <c r="G1421" s="9">
        <f t="shared" si="773"/>
        <v>34133</v>
      </c>
      <c r="H1421" s="9">
        <f>H1422</f>
        <v>29970.792730000001</v>
      </c>
      <c r="I1421" s="9">
        <f t="shared" si="734"/>
        <v>70.782322907170638</v>
      </c>
      <c r="J1421" s="9">
        <f t="shared" si="735"/>
        <v>87.805914305803768</v>
      </c>
    </row>
    <row r="1422" spans="1:10" ht="25.5">
      <c r="A1422" s="8" t="s">
        <v>62</v>
      </c>
      <c r="B1422" s="1" t="s">
        <v>1096</v>
      </c>
      <c r="C1422" s="1" t="s">
        <v>63</v>
      </c>
      <c r="D1422" s="9">
        <f>ведомство!G2930</f>
        <v>42342.2</v>
      </c>
      <c r="E1422" s="9">
        <f>ведомство!H2930</f>
        <v>42342.2</v>
      </c>
      <c r="F1422" s="9">
        <f>ведомство!I2930</f>
        <v>34133</v>
      </c>
      <c r="G1422" s="9">
        <f>ведомство!J2930</f>
        <v>34133</v>
      </c>
      <c r="H1422" s="9">
        <f>ведомство!K2930</f>
        <v>29970.792730000001</v>
      </c>
      <c r="I1422" s="9">
        <f t="shared" si="734"/>
        <v>70.782322907170638</v>
      </c>
      <c r="J1422" s="9">
        <f t="shared" si="735"/>
        <v>87.805914305803768</v>
      </c>
    </row>
    <row r="1423" spans="1:10" ht="25.5">
      <c r="A1423" s="8" t="s">
        <v>64</v>
      </c>
      <c r="B1423" s="1" t="s">
        <v>1096</v>
      </c>
      <c r="C1423" s="1" t="s">
        <v>65</v>
      </c>
      <c r="D1423" s="9">
        <f>D1424</f>
        <v>1716.6</v>
      </c>
      <c r="E1423" s="9">
        <f>E1424</f>
        <v>1716.6</v>
      </c>
      <c r="F1423" s="9">
        <f t="shared" ref="F1423:G1423" si="774">F1424</f>
        <v>1618</v>
      </c>
      <c r="G1423" s="9">
        <f t="shared" si="774"/>
        <v>1618</v>
      </c>
      <c r="H1423" s="9">
        <f>H1424</f>
        <v>925.55957999999998</v>
      </c>
      <c r="I1423" s="9">
        <f t="shared" si="734"/>
        <v>53.91818594896889</v>
      </c>
      <c r="J1423" s="9">
        <f t="shared" si="735"/>
        <v>57.203929542645241</v>
      </c>
    </row>
    <row r="1424" spans="1:10" ht="25.5">
      <c r="A1424" s="8" t="s">
        <v>66</v>
      </c>
      <c r="B1424" s="1" t="s">
        <v>1096</v>
      </c>
      <c r="C1424" s="1" t="s">
        <v>67</v>
      </c>
      <c r="D1424" s="9">
        <f>ведомство!G2932</f>
        <v>1716.6</v>
      </c>
      <c r="E1424" s="9">
        <f>ведомство!H2932</f>
        <v>1716.6</v>
      </c>
      <c r="F1424" s="9">
        <f>ведомство!I2932</f>
        <v>1618</v>
      </c>
      <c r="G1424" s="9">
        <f>ведомство!J2932</f>
        <v>1618</v>
      </c>
      <c r="H1424" s="9">
        <f>ведомство!K2932</f>
        <v>925.55957999999998</v>
      </c>
      <c r="I1424" s="9">
        <f t="shared" si="734"/>
        <v>53.91818594896889</v>
      </c>
      <c r="J1424" s="9">
        <f t="shared" si="735"/>
        <v>57.203929542645241</v>
      </c>
    </row>
    <row r="1425" spans="1:10">
      <c r="A1425" s="8" t="s">
        <v>72</v>
      </c>
      <c r="B1425" s="1" t="s">
        <v>1096</v>
      </c>
      <c r="C1425" s="1" t="s">
        <v>73</v>
      </c>
      <c r="D1425" s="9">
        <f>D1426</f>
        <v>12.2</v>
      </c>
      <c r="E1425" s="9">
        <f>E1426</f>
        <v>12.2</v>
      </c>
      <c r="F1425" s="9">
        <f t="shared" ref="F1425:G1425" si="775">F1426</f>
        <v>12.2</v>
      </c>
      <c r="G1425" s="9">
        <f t="shared" si="775"/>
        <v>12.2</v>
      </c>
      <c r="H1425" s="9">
        <f>H1426</f>
        <v>5.0709999999999997</v>
      </c>
      <c r="I1425" s="9">
        <f t="shared" si="734"/>
        <v>41.565573770491802</v>
      </c>
      <c r="J1425" s="9">
        <f t="shared" si="735"/>
        <v>41.565573770491802</v>
      </c>
    </row>
    <row r="1426" spans="1:10">
      <c r="A1426" s="8" t="s">
        <v>74</v>
      </c>
      <c r="B1426" s="1" t="s">
        <v>1096</v>
      </c>
      <c r="C1426" s="1" t="s">
        <v>75</v>
      </c>
      <c r="D1426" s="9">
        <f>ведомство!G2934</f>
        <v>12.2</v>
      </c>
      <c r="E1426" s="9">
        <f>ведомство!H2934</f>
        <v>12.2</v>
      </c>
      <c r="F1426" s="9">
        <f>ведомство!I2934</f>
        <v>12.2</v>
      </c>
      <c r="G1426" s="9">
        <f>ведомство!J2934</f>
        <v>12.2</v>
      </c>
      <c r="H1426" s="9">
        <f>ведомство!K2934</f>
        <v>5.0709999999999997</v>
      </c>
      <c r="I1426" s="9">
        <f t="shared" si="734"/>
        <v>41.565573770491802</v>
      </c>
      <c r="J1426" s="9">
        <f t="shared" si="735"/>
        <v>41.565573770491802</v>
      </c>
    </row>
    <row r="1427" spans="1:10" ht="25.5">
      <c r="A1427" s="8" t="s">
        <v>76</v>
      </c>
      <c r="B1427" s="1" t="s">
        <v>1097</v>
      </c>
      <c r="C1427" s="1" t="s">
        <v>0</v>
      </c>
      <c r="D1427" s="9">
        <f>D1428+D1430+D1432</f>
        <v>13448.099999999999</v>
      </c>
      <c r="E1427" s="9">
        <f>E1428+E1430+E1432</f>
        <v>13448.1</v>
      </c>
      <c r="F1427" s="9">
        <f t="shared" ref="F1427:G1427" si="776">F1428+F1430+F1432</f>
        <v>10821.206</v>
      </c>
      <c r="G1427" s="9">
        <f t="shared" si="776"/>
        <v>10821.206</v>
      </c>
      <c r="H1427" s="9">
        <f>H1428+H1430+H1432</f>
        <v>9156.4486199999992</v>
      </c>
      <c r="I1427" s="9">
        <f t="shared" si="734"/>
        <v>68.087303187810903</v>
      </c>
      <c r="J1427" s="9">
        <f t="shared" si="735"/>
        <v>84.615787001929348</v>
      </c>
    </row>
    <row r="1428" spans="1:10" ht="51">
      <c r="A1428" s="8" t="s">
        <v>60</v>
      </c>
      <c r="B1428" s="1" t="s">
        <v>1097</v>
      </c>
      <c r="C1428" s="1" t="s">
        <v>61</v>
      </c>
      <c r="D1428" s="9">
        <f>D1429</f>
        <v>11202.8</v>
      </c>
      <c r="E1428" s="9">
        <f>E1429</f>
        <v>11202.758</v>
      </c>
      <c r="F1428" s="9">
        <f t="shared" ref="F1428:G1428" si="777">F1429</f>
        <v>9044.3680000000004</v>
      </c>
      <c r="G1428" s="9">
        <f t="shared" si="777"/>
        <v>9044.3680000000004</v>
      </c>
      <c r="H1428" s="9">
        <f>H1429</f>
        <v>7722.4394699999993</v>
      </c>
      <c r="I1428" s="9">
        <f t="shared" si="734"/>
        <v>68.933377566488531</v>
      </c>
      <c r="J1428" s="9">
        <f t="shared" si="735"/>
        <v>85.383959056066701</v>
      </c>
    </row>
    <row r="1429" spans="1:10">
      <c r="A1429" s="8" t="s">
        <v>78</v>
      </c>
      <c r="B1429" s="1" t="s">
        <v>1097</v>
      </c>
      <c r="C1429" s="1" t="s">
        <v>79</v>
      </c>
      <c r="D1429" s="9">
        <f>ведомство!G2937</f>
        <v>11202.8</v>
      </c>
      <c r="E1429" s="9">
        <f>ведомство!H2937</f>
        <v>11202.758</v>
      </c>
      <c r="F1429" s="9">
        <f>ведомство!I2937</f>
        <v>9044.3680000000004</v>
      </c>
      <c r="G1429" s="9">
        <f>ведомство!J2937</f>
        <v>9044.3680000000004</v>
      </c>
      <c r="H1429" s="9">
        <f>ведомство!K2937</f>
        <v>7722.4394699999993</v>
      </c>
      <c r="I1429" s="9">
        <f t="shared" si="734"/>
        <v>68.933377566488531</v>
      </c>
      <c r="J1429" s="9">
        <f t="shared" si="735"/>
        <v>85.383959056066701</v>
      </c>
    </row>
    <row r="1430" spans="1:10" ht="25.5">
      <c r="A1430" s="8" t="s">
        <v>64</v>
      </c>
      <c r="B1430" s="1" t="s">
        <v>1097</v>
      </c>
      <c r="C1430" s="1" t="s">
        <v>65</v>
      </c>
      <c r="D1430" s="9">
        <f>D1431</f>
        <v>2240.3000000000002</v>
      </c>
      <c r="E1430" s="9">
        <f>E1431</f>
        <v>2240.3420000000001</v>
      </c>
      <c r="F1430" s="9">
        <f t="shared" ref="F1430:G1430" si="778">F1431</f>
        <v>1771.838</v>
      </c>
      <c r="G1430" s="9">
        <f t="shared" si="778"/>
        <v>1771.838</v>
      </c>
      <c r="H1430" s="9">
        <f>H1431</f>
        <v>1434.0091500000001</v>
      </c>
      <c r="I1430" s="9">
        <f t="shared" si="734"/>
        <v>64.008492899744766</v>
      </c>
      <c r="J1430" s="9">
        <f t="shared" si="735"/>
        <v>80.933423371662656</v>
      </c>
    </row>
    <row r="1431" spans="1:10" ht="25.5">
      <c r="A1431" s="8" t="s">
        <v>66</v>
      </c>
      <c r="B1431" s="1" t="s">
        <v>1097</v>
      </c>
      <c r="C1431" s="1" t="s">
        <v>67</v>
      </c>
      <c r="D1431" s="9">
        <f>ведомство!G2939</f>
        <v>2240.3000000000002</v>
      </c>
      <c r="E1431" s="9">
        <f>ведомство!H2939</f>
        <v>2240.3420000000001</v>
      </c>
      <c r="F1431" s="9">
        <f>ведомство!I2939</f>
        <v>1771.838</v>
      </c>
      <c r="G1431" s="9">
        <f>ведомство!J2939</f>
        <v>1771.838</v>
      </c>
      <c r="H1431" s="9">
        <f>ведомство!K2939</f>
        <v>1434.0091500000001</v>
      </c>
      <c r="I1431" s="9">
        <f t="shared" si="734"/>
        <v>64.008492899744766</v>
      </c>
      <c r="J1431" s="9">
        <f t="shared" si="735"/>
        <v>80.933423371662656</v>
      </c>
    </row>
    <row r="1432" spans="1:10">
      <c r="A1432" s="8" t="s">
        <v>72</v>
      </c>
      <c r="B1432" s="1" t="s">
        <v>1097</v>
      </c>
      <c r="C1432" s="1" t="s">
        <v>73</v>
      </c>
      <c r="D1432" s="9">
        <f>D1433</f>
        <v>5</v>
      </c>
      <c r="E1432" s="9">
        <f>E1433</f>
        <v>5</v>
      </c>
      <c r="F1432" s="9">
        <f t="shared" ref="F1432:G1432" si="779">F1433</f>
        <v>5</v>
      </c>
      <c r="G1432" s="9">
        <f t="shared" si="779"/>
        <v>5</v>
      </c>
      <c r="H1432" s="9">
        <f>H1433</f>
        <v>0</v>
      </c>
      <c r="I1432" s="9">
        <f t="shared" ref="I1432:I1497" si="780">H1432/E1432*100</f>
        <v>0</v>
      </c>
      <c r="J1432" s="9">
        <f t="shared" ref="J1432:J1497" si="781">H1432/F1432*100</f>
        <v>0</v>
      </c>
    </row>
    <row r="1433" spans="1:10">
      <c r="A1433" s="8" t="s">
        <v>74</v>
      </c>
      <c r="B1433" s="1" t="s">
        <v>1097</v>
      </c>
      <c r="C1433" s="1" t="s">
        <v>75</v>
      </c>
      <c r="D1433" s="9">
        <f>ведомство!G2941</f>
        <v>5</v>
      </c>
      <c r="E1433" s="9">
        <f>ведомство!H2941</f>
        <v>5</v>
      </c>
      <c r="F1433" s="9">
        <f>ведомство!I2941</f>
        <v>5</v>
      </c>
      <c r="G1433" s="9">
        <f>ведомство!J2941</f>
        <v>5</v>
      </c>
      <c r="H1433" s="9">
        <f>ведомство!K2941</f>
        <v>0</v>
      </c>
      <c r="I1433" s="9">
        <f t="shared" si="780"/>
        <v>0</v>
      </c>
      <c r="J1433" s="9">
        <f t="shared" si="781"/>
        <v>0</v>
      </c>
    </row>
    <row r="1434" spans="1:10">
      <c r="A1434" s="4" t="s">
        <v>0</v>
      </c>
      <c r="B1434" s="17" t="s">
        <v>0</v>
      </c>
      <c r="C1434" s="5" t="s">
        <v>0</v>
      </c>
      <c r="D1434" s="7" t="s">
        <v>0</v>
      </c>
      <c r="E1434" s="7" t="s">
        <v>0</v>
      </c>
      <c r="F1434" s="7" t="s">
        <v>0</v>
      </c>
      <c r="G1434" s="7" t="s">
        <v>0</v>
      </c>
      <c r="H1434" s="7" t="s">
        <v>0</v>
      </c>
      <c r="I1434" s="7"/>
      <c r="J1434" s="7"/>
    </row>
    <row r="1435" spans="1:10" ht="38.25">
      <c r="A1435" s="4" t="s">
        <v>1007</v>
      </c>
      <c r="B1435" s="5" t="s">
        <v>1008</v>
      </c>
      <c r="C1435" s="5" t="s">
        <v>0</v>
      </c>
      <c r="D1435" s="7">
        <f>D1436</f>
        <v>47980.2</v>
      </c>
      <c r="E1435" s="7">
        <f>E1436</f>
        <v>47980.2</v>
      </c>
      <c r="F1435" s="7">
        <f t="shared" ref="F1435:G1435" si="782">F1436</f>
        <v>36983.699999999997</v>
      </c>
      <c r="G1435" s="7">
        <f t="shared" si="782"/>
        <v>34095.863669999999</v>
      </c>
      <c r="H1435" s="7">
        <f>H1436</f>
        <v>32684.752530000002</v>
      </c>
      <c r="I1435" s="7">
        <f t="shared" si="780"/>
        <v>68.121334487976299</v>
      </c>
      <c r="J1435" s="7">
        <f t="shared" si="781"/>
        <v>88.376102255858669</v>
      </c>
    </row>
    <row r="1436" spans="1:10" ht="25.5">
      <c r="A1436" s="8" t="s">
        <v>58</v>
      </c>
      <c r="B1436" s="1" t="s">
        <v>1009</v>
      </c>
      <c r="C1436" s="1" t="s">
        <v>0</v>
      </c>
      <c r="D1436" s="9">
        <f>D1437+D1439+D1441</f>
        <v>47980.2</v>
      </c>
      <c r="E1436" s="9">
        <f>E1437+E1439+E1441</f>
        <v>47980.2</v>
      </c>
      <c r="F1436" s="9">
        <f t="shared" ref="F1436:G1436" si="783">F1437+F1439+F1441</f>
        <v>36983.699999999997</v>
      </c>
      <c r="G1436" s="9">
        <f t="shared" si="783"/>
        <v>34095.863669999999</v>
      </c>
      <c r="H1436" s="9">
        <f>H1437+H1439+H1441</f>
        <v>32684.752530000002</v>
      </c>
      <c r="I1436" s="9">
        <f t="shared" si="780"/>
        <v>68.121334487976299</v>
      </c>
      <c r="J1436" s="9">
        <f t="shared" si="781"/>
        <v>88.376102255858669</v>
      </c>
    </row>
    <row r="1437" spans="1:10" ht="51">
      <c r="A1437" s="8" t="s">
        <v>60</v>
      </c>
      <c r="B1437" s="1" t="s">
        <v>1009</v>
      </c>
      <c r="C1437" s="1" t="s">
        <v>61</v>
      </c>
      <c r="D1437" s="9">
        <f>D1438</f>
        <v>46285.5</v>
      </c>
      <c r="E1437" s="9">
        <f>E1438</f>
        <v>46285.5</v>
      </c>
      <c r="F1437" s="9">
        <f t="shared" ref="F1437:G1437" si="784">F1438</f>
        <v>35675</v>
      </c>
      <c r="G1437" s="9">
        <f t="shared" si="784"/>
        <v>32825</v>
      </c>
      <c r="H1437" s="9">
        <f>H1438</f>
        <v>31634.58049</v>
      </c>
      <c r="I1437" s="9">
        <f t="shared" si="780"/>
        <v>68.346632293050732</v>
      </c>
      <c r="J1437" s="9">
        <f t="shared" si="781"/>
        <v>88.674367175893494</v>
      </c>
    </row>
    <row r="1438" spans="1:10" ht="25.5">
      <c r="A1438" s="8" t="s">
        <v>62</v>
      </c>
      <c r="B1438" s="1" t="s">
        <v>1009</v>
      </c>
      <c r="C1438" s="1" t="s">
        <v>63</v>
      </c>
      <c r="D1438" s="9">
        <f>ведомство!G2657</f>
        <v>46285.5</v>
      </c>
      <c r="E1438" s="9">
        <f>ведомство!H2657</f>
        <v>46285.5</v>
      </c>
      <c r="F1438" s="9">
        <f>ведомство!I2657</f>
        <v>35675</v>
      </c>
      <c r="G1438" s="9">
        <f>ведомство!J2657</f>
        <v>32825</v>
      </c>
      <c r="H1438" s="9">
        <f>ведомство!K2657</f>
        <v>31634.58049</v>
      </c>
      <c r="I1438" s="9">
        <f t="shared" si="780"/>
        <v>68.346632293050732</v>
      </c>
      <c r="J1438" s="9">
        <f t="shared" si="781"/>
        <v>88.674367175893494</v>
      </c>
    </row>
    <row r="1439" spans="1:10" ht="25.5">
      <c r="A1439" s="8" t="s">
        <v>64</v>
      </c>
      <c r="B1439" s="1" t="s">
        <v>1009</v>
      </c>
      <c r="C1439" s="1" t="s">
        <v>65</v>
      </c>
      <c r="D1439" s="9">
        <f>D1440</f>
        <v>1633.7</v>
      </c>
      <c r="E1439" s="9">
        <f>E1440</f>
        <v>1633.7</v>
      </c>
      <c r="F1439" s="9">
        <f t="shared" ref="F1439:G1439" si="785">F1440</f>
        <v>1263.7</v>
      </c>
      <c r="G1439" s="9">
        <f t="shared" si="785"/>
        <v>1263.7</v>
      </c>
      <c r="H1439" s="9">
        <f>H1440</f>
        <v>1043.00837</v>
      </c>
      <c r="I1439" s="9">
        <f t="shared" si="780"/>
        <v>63.843323131541894</v>
      </c>
      <c r="J1439" s="9">
        <f t="shared" si="781"/>
        <v>82.536074226477808</v>
      </c>
    </row>
    <row r="1440" spans="1:10" ht="25.5">
      <c r="A1440" s="8" t="s">
        <v>66</v>
      </c>
      <c r="B1440" s="1" t="s">
        <v>1009</v>
      </c>
      <c r="C1440" s="1" t="s">
        <v>67</v>
      </c>
      <c r="D1440" s="9">
        <f>ведомство!G2659</f>
        <v>1633.7</v>
      </c>
      <c r="E1440" s="9">
        <f>ведомство!H2659</f>
        <v>1633.7</v>
      </c>
      <c r="F1440" s="9">
        <f>ведомство!I2659</f>
        <v>1263.7</v>
      </c>
      <c r="G1440" s="9">
        <f>ведомство!J2659</f>
        <v>1263.7</v>
      </c>
      <c r="H1440" s="9">
        <f>ведомство!K2659</f>
        <v>1043.00837</v>
      </c>
      <c r="I1440" s="9">
        <f t="shared" si="780"/>
        <v>63.843323131541894</v>
      </c>
      <c r="J1440" s="9">
        <f t="shared" si="781"/>
        <v>82.536074226477808</v>
      </c>
    </row>
    <row r="1441" spans="1:10">
      <c r="A1441" s="8" t="s">
        <v>72</v>
      </c>
      <c r="B1441" s="1" t="s">
        <v>1009</v>
      </c>
      <c r="C1441" s="1" t="s">
        <v>73</v>
      </c>
      <c r="D1441" s="9">
        <f>D1443+D1442</f>
        <v>61</v>
      </c>
      <c r="E1441" s="9">
        <f>E1443+E1442</f>
        <v>61</v>
      </c>
      <c r="F1441" s="9">
        <f t="shared" ref="F1441:G1441" si="786">F1443+F1442</f>
        <v>45</v>
      </c>
      <c r="G1441" s="9">
        <f t="shared" si="786"/>
        <v>7.1636699999999998</v>
      </c>
      <c r="H1441" s="9">
        <f>H1443+H1442</f>
        <v>7.1636699999999998</v>
      </c>
      <c r="I1441" s="9">
        <f t="shared" si="780"/>
        <v>11.74372131147541</v>
      </c>
      <c r="J1441" s="9">
        <f t="shared" si="781"/>
        <v>15.919266666666665</v>
      </c>
    </row>
    <row r="1442" spans="1:10" s="42" customFormat="1">
      <c r="A1442" s="25" t="s">
        <v>84</v>
      </c>
      <c r="B1442" s="1" t="s">
        <v>1009</v>
      </c>
      <c r="C1442" s="1">
        <v>830</v>
      </c>
      <c r="D1442" s="9">
        <f>ведомство!G2661</f>
        <v>0</v>
      </c>
      <c r="E1442" s="9">
        <f>ведомство!H2661</f>
        <v>3</v>
      </c>
      <c r="F1442" s="9">
        <f>ведомство!I2661</f>
        <v>3</v>
      </c>
      <c r="G1442" s="9">
        <f>ведомство!J2661</f>
        <v>3</v>
      </c>
      <c r="H1442" s="9">
        <f>ведомство!K2661</f>
        <v>3</v>
      </c>
      <c r="I1442" s="9">
        <f t="shared" ref="I1442" si="787">H1442/E1442*100</f>
        <v>100</v>
      </c>
      <c r="J1442" s="9">
        <f t="shared" ref="J1442" si="788">H1442/F1442*100</f>
        <v>100</v>
      </c>
    </row>
    <row r="1443" spans="1:10">
      <c r="A1443" s="8" t="s">
        <v>74</v>
      </c>
      <c r="B1443" s="1" t="s">
        <v>1009</v>
      </c>
      <c r="C1443" s="1" t="s">
        <v>75</v>
      </c>
      <c r="D1443" s="9">
        <f>ведомство!G2662</f>
        <v>61</v>
      </c>
      <c r="E1443" s="9">
        <f>ведомство!H2662</f>
        <v>58</v>
      </c>
      <c r="F1443" s="9">
        <f>ведомство!I2662</f>
        <v>42</v>
      </c>
      <c r="G1443" s="9">
        <f>ведомство!J2662</f>
        <v>4.1636699999999998</v>
      </c>
      <c r="H1443" s="9">
        <f>ведомство!K2662</f>
        <v>4.1636699999999998</v>
      </c>
      <c r="I1443" s="9">
        <f t="shared" si="780"/>
        <v>7.1787413793103436</v>
      </c>
      <c r="J1443" s="9">
        <f t="shared" si="781"/>
        <v>9.9135000000000009</v>
      </c>
    </row>
    <row r="1444" spans="1:10">
      <c r="A1444" s="4" t="s">
        <v>0</v>
      </c>
      <c r="B1444" s="17" t="s">
        <v>0</v>
      </c>
      <c r="C1444" s="5" t="s">
        <v>0</v>
      </c>
      <c r="D1444" s="7" t="s">
        <v>0</v>
      </c>
      <c r="E1444" s="7" t="s">
        <v>0</v>
      </c>
      <c r="F1444" s="7" t="s">
        <v>0</v>
      </c>
      <c r="G1444" s="7" t="s">
        <v>0</v>
      </c>
      <c r="H1444" s="7" t="s">
        <v>0</v>
      </c>
      <c r="I1444" s="7"/>
      <c r="J1444" s="7"/>
    </row>
    <row r="1445" spans="1:10" ht="25.5">
      <c r="A1445" s="4" t="s">
        <v>482</v>
      </c>
      <c r="B1445" s="5" t="s">
        <v>483</v>
      </c>
      <c r="C1445" s="5" t="s">
        <v>0</v>
      </c>
      <c r="D1445" s="7">
        <f>D1446+D1449</f>
        <v>3119</v>
      </c>
      <c r="E1445" s="7">
        <f>E1446+E1449</f>
        <v>3119</v>
      </c>
      <c r="F1445" s="7">
        <f t="shared" ref="F1445:G1445" si="789">F1446+F1449</f>
        <v>1901.7270799999999</v>
      </c>
      <c r="G1445" s="7">
        <f t="shared" si="789"/>
        <v>1901.7270799999999</v>
      </c>
      <c r="H1445" s="7">
        <f>H1446+H1449</f>
        <v>1901.7270799999999</v>
      </c>
      <c r="I1445" s="7">
        <f t="shared" si="780"/>
        <v>60.972333440205198</v>
      </c>
      <c r="J1445" s="7">
        <f t="shared" si="781"/>
        <v>100</v>
      </c>
    </row>
    <row r="1446" spans="1:10" ht="25.5">
      <c r="A1446" s="8" t="s">
        <v>592</v>
      </c>
      <c r="B1446" s="1" t="s">
        <v>593</v>
      </c>
      <c r="C1446" s="1" t="s">
        <v>0</v>
      </c>
      <c r="D1446" s="9">
        <f>D1447</f>
        <v>2194</v>
      </c>
      <c r="E1446" s="9">
        <f>E1447</f>
        <v>2194</v>
      </c>
      <c r="F1446" s="9">
        <f t="shared" ref="F1446:G1447" si="790">F1447</f>
        <v>1207.9770799999999</v>
      </c>
      <c r="G1446" s="9">
        <f t="shared" si="790"/>
        <v>1207.9770799999999</v>
      </c>
      <c r="H1446" s="9">
        <f>H1447</f>
        <v>1207.9770799999999</v>
      </c>
      <c r="I1446" s="9">
        <f t="shared" si="780"/>
        <v>55.058207839562435</v>
      </c>
      <c r="J1446" s="9">
        <f t="shared" si="781"/>
        <v>100</v>
      </c>
    </row>
    <row r="1447" spans="1:10">
      <c r="A1447" s="8" t="s">
        <v>26</v>
      </c>
      <c r="B1447" s="1" t="s">
        <v>593</v>
      </c>
      <c r="C1447" s="1" t="s">
        <v>27</v>
      </c>
      <c r="D1447" s="9">
        <f>D1448</f>
        <v>2194</v>
      </c>
      <c r="E1447" s="9">
        <f>E1448</f>
        <v>2194</v>
      </c>
      <c r="F1447" s="9">
        <f t="shared" si="790"/>
        <v>1207.9770799999999</v>
      </c>
      <c r="G1447" s="9">
        <f t="shared" si="790"/>
        <v>1207.9770799999999</v>
      </c>
      <c r="H1447" s="9">
        <f>H1448</f>
        <v>1207.9770799999999</v>
      </c>
      <c r="I1447" s="9">
        <f t="shared" si="780"/>
        <v>55.058207839562435</v>
      </c>
      <c r="J1447" s="9">
        <f t="shared" si="781"/>
        <v>100</v>
      </c>
    </row>
    <row r="1448" spans="1:10">
      <c r="A1448" s="8" t="s">
        <v>56</v>
      </c>
      <c r="B1448" s="1" t="s">
        <v>593</v>
      </c>
      <c r="C1448" s="1" t="s">
        <v>57</v>
      </c>
      <c r="D1448" s="9">
        <f>ведомство!G1475</f>
        <v>2194</v>
      </c>
      <c r="E1448" s="9">
        <f>ведомство!H1475</f>
        <v>2194</v>
      </c>
      <c r="F1448" s="9">
        <f>ведомство!I1475</f>
        <v>1207.9770799999999</v>
      </c>
      <c r="G1448" s="9">
        <f>ведомство!J1475</f>
        <v>1207.9770799999999</v>
      </c>
      <c r="H1448" s="9">
        <f>ведомство!K1475</f>
        <v>1207.9770799999999</v>
      </c>
      <c r="I1448" s="9">
        <f t="shared" si="780"/>
        <v>55.058207839562435</v>
      </c>
      <c r="J1448" s="9">
        <f t="shared" si="781"/>
        <v>100</v>
      </c>
    </row>
    <row r="1449" spans="1:10" ht="25.5">
      <c r="A1449" s="8" t="s">
        <v>484</v>
      </c>
      <c r="B1449" s="1" t="s">
        <v>485</v>
      </c>
      <c r="C1449" s="1" t="s">
        <v>0</v>
      </c>
      <c r="D1449" s="9">
        <f>D1450</f>
        <v>925</v>
      </c>
      <c r="E1449" s="9">
        <f>E1450</f>
        <v>925</v>
      </c>
      <c r="F1449" s="9">
        <f t="shared" ref="F1449:G1450" si="791">F1450</f>
        <v>693.75</v>
      </c>
      <c r="G1449" s="9">
        <f t="shared" si="791"/>
        <v>693.75</v>
      </c>
      <c r="H1449" s="9">
        <f>H1450</f>
        <v>693.75</v>
      </c>
      <c r="I1449" s="9">
        <f t="shared" si="780"/>
        <v>75</v>
      </c>
      <c r="J1449" s="9">
        <f t="shared" si="781"/>
        <v>100</v>
      </c>
    </row>
    <row r="1450" spans="1:10">
      <c r="A1450" s="8" t="s">
        <v>26</v>
      </c>
      <c r="B1450" s="1" t="s">
        <v>485</v>
      </c>
      <c r="C1450" s="1" t="s">
        <v>27</v>
      </c>
      <c r="D1450" s="9">
        <f>D1451</f>
        <v>925</v>
      </c>
      <c r="E1450" s="9">
        <f>E1451</f>
        <v>925</v>
      </c>
      <c r="F1450" s="9">
        <f t="shared" si="791"/>
        <v>693.75</v>
      </c>
      <c r="G1450" s="9">
        <f t="shared" si="791"/>
        <v>693.75</v>
      </c>
      <c r="H1450" s="9">
        <f>H1451</f>
        <v>693.75</v>
      </c>
      <c r="I1450" s="9">
        <f t="shared" si="780"/>
        <v>75</v>
      </c>
      <c r="J1450" s="9">
        <f t="shared" si="781"/>
        <v>100</v>
      </c>
    </row>
    <row r="1451" spans="1:10">
      <c r="A1451" s="8" t="s">
        <v>28</v>
      </c>
      <c r="B1451" s="1" t="s">
        <v>485</v>
      </c>
      <c r="C1451" s="1" t="s">
        <v>29</v>
      </c>
      <c r="D1451" s="9">
        <f>ведомство!G1252</f>
        <v>925</v>
      </c>
      <c r="E1451" s="9">
        <f>ведомство!H1252</f>
        <v>925</v>
      </c>
      <c r="F1451" s="9">
        <f>ведомство!I1252</f>
        <v>693.75</v>
      </c>
      <c r="G1451" s="9">
        <f>ведомство!J1252</f>
        <v>693.75</v>
      </c>
      <c r="H1451" s="9">
        <f>ведомство!K1252</f>
        <v>693.75</v>
      </c>
      <c r="I1451" s="9">
        <f t="shared" si="780"/>
        <v>75</v>
      </c>
      <c r="J1451" s="9">
        <f t="shared" si="781"/>
        <v>100</v>
      </c>
    </row>
    <row r="1452" spans="1:10">
      <c r="A1452" s="4" t="s">
        <v>0</v>
      </c>
      <c r="B1452" s="17" t="s">
        <v>0</v>
      </c>
      <c r="C1452" s="5" t="s">
        <v>0</v>
      </c>
      <c r="D1452" s="7" t="s">
        <v>0</v>
      </c>
      <c r="E1452" s="7" t="s">
        <v>0</v>
      </c>
      <c r="F1452" s="7" t="s">
        <v>0</v>
      </c>
      <c r="G1452" s="7" t="s">
        <v>0</v>
      </c>
      <c r="H1452" s="7" t="s">
        <v>0</v>
      </c>
      <c r="I1452" s="7"/>
      <c r="J1452" s="7"/>
    </row>
    <row r="1453" spans="1:10" ht="25.5">
      <c r="A1453" s="4" t="s">
        <v>231</v>
      </c>
      <c r="B1453" s="5" t="s">
        <v>232</v>
      </c>
      <c r="C1453" s="5" t="s">
        <v>0</v>
      </c>
      <c r="D1453" s="7">
        <f>D1454+D1467+D1475+D1489</f>
        <v>940696.39999999991</v>
      </c>
      <c r="E1453" s="7">
        <f>E1454+E1467+E1475+E1489</f>
        <v>940696.39999999991</v>
      </c>
      <c r="F1453" s="7">
        <f t="shared" ref="F1453:G1453" si="792">F1454+F1467+F1475+F1489</f>
        <v>667887.37260999996</v>
      </c>
      <c r="G1453" s="7">
        <f t="shared" si="792"/>
        <v>666819.37517000001</v>
      </c>
      <c r="H1453" s="7">
        <f>H1454+H1467+H1475+H1489</f>
        <v>660655.90278999996</v>
      </c>
      <c r="I1453" s="7">
        <f t="shared" si="780"/>
        <v>70.230512500101</v>
      </c>
      <c r="J1453" s="7">
        <f t="shared" si="781"/>
        <v>98.917262083913855</v>
      </c>
    </row>
    <row r="1454" spans="1:10">
      <c r="A1454" s="4" t="s">
        <v>243</v>
      </c>
      <c r="B1454" s="5" t="s">
        <v>244</v>
      </c>
      <c r="C1454" s="5" t="s">
        <v>0</v>
      </c>
      <c r="D1454" s="7">
        <f>D1455+D1460+D1463</f>
        <v>102087</v>
      </c>
      <c r="E1454" s="7">
        <f>E1455+E1460+E1463</f>
        <v>102087</v>
      </c>
      <c r="F1454" s="7">
        <f t="shared" ref="F1454:G1454" si="793">F1455+F1460+F1463</f>
        <v>62214.170919999997</v>
      </c>
      <c r="G1454" s="7">
        <f t="shared" si="793"/>
        <v>62214.170919999997</v>
      </c>
      <c r="H1454" s="7">
        <f>H1455+H1460+H1463</f>
        <v>62214.170919999997</v>
      </c>
      <c r="I1454" s="7">
        <f t="shared" si="780"/>
        <v>60.942305014350509</v>
      </c>
      <c r="J1454" s="7">
        <f t="shared" si="781"/>
        <v>100</v>
      </c>
    </row>
    <row r="1455" spans="1:10" ht="25.5">
      <c r="A1455" s="8" t="s">
        <v>245</v>
      </c>
      <c r="B1455" s="1" t="s">
        <v>246</v>
      </c>
      <c r="C1455" s="1" t="s">
        <v>0</v>
      </c>
      <c r="D1455" s="9">
        <f>D1456+D1458</f>
        <v>62247</v>
      </c>
      <c r="E1455" s="9">
        <f>E1456+E1458</f>
        <v>62247</v>
      </c>
      <c r="F1455" s="9">
        <f t="shared" ref="F1455:G1455" si="794">F1456+F1458</f>
        <v>36014.170919999997</v>
      </c>
      <c r="G1455" s="9">
        <f t="shared" si="794"/>
        <v>36014.170919999997</v>
      </c>
      <c r="H1455" s="9">
        <f>H1456+H1458</f>
        <v>36014.170919999997</v>
      </c>
      <c r="I1455" s="9">
        <f t="shared" si="780"/>
        <v>57.856878114607923</v>
      </c>
      <c r="J1455" s="9">
        <f t="shared" si="781"/>
        <v>100</v>
      </c>
    </row>
    <row r="1456" spans="1:10" ht="25.5">
      <c r="A1456" s="8" t="s">
        <v>64</v>
      </c>
      <c r="B1456" s="1" t="s">
        <v>246</v>
      </c>
      <c r="C1456" s="1" t="s">
        <v>65</v>
      </c>
      <c r="D1456" s="9">
        <f>D1457</f>
        <v>53694.9</v>
      </c>
      <c r="E1456" s="9">
        <f>E1457</f>
        <v>53694.9</v>
      </c>
      <c r="F1456" s="9">
        <f t="shared" ref="F1456:G1456" si="795">F1457</f>
        <v>29232</v>
      </c>
      <c r="G1456" s="9">
        <f t="shared" si="795"/>
        <v>29232</v>
      </c>
      <c r="H1456" s="9">
        <f>H1457</f>
        <v>29232</v>
      </c>
      <c r="I1456" s="9">
        <f t="shared" si="780"/>
        <v>54.440924557080841</v>
      </c>
      <c r="J1456" s="9">
        <f t="shared" si="781"/>
        <v>100</v>
      </c>
    </row>
    <row r="1457" spans="1:10" ht="25.5">
      <c r="A1457" s="8" t="s">
        <v>66</v>
      </c>
      <c r="B1457" s="1" t="s">
        <v>246</v>
      </c>
      <c r="C1457" s="1" t="s">
        <v>67</v>
      </c>
      <c r="D1457" s="9">
        <f>ведомство!G410</f>
        <v>53694.9</v>
      </c>
      <c r="E1457" s="9">
        <f>ведомство!H410</f>
        <v>53694.9</v>
      </c>
      <c r="F1457" s="9">
        <f>ведомство!I410</f>
        <v>29232</v>
      </c>
      <c r="G1457" s="9">
        <f>ведомство!J410</f>
        <v>29232</v>
      </c>
      <c r="H1457" s="9">
        <f>ведомство!K410</f>
        <v>29232</v>
      </c>
      <c r="I1457" s="9">
        <f t="shared" si="780"/>
        <v>54.440924557080841</v>
      </c>
      <c r="J1457" s="9">
        <f t="shared" si="781"/>
        <v>100</v>
      </c>
    </row>
    <row r="1458" spans="1:10" ht="25.5">
      <c r="A1458" s="8" t="s">
        <v>80</v>
      </c>
      <c r="B1458" s="1" t="s">
        <v>246</v>
      </c>
      <c r="C1458" s="1" t="s">
        <v>81</v>
      </c>
      <c r="D1458" s="9">
        <f>D1459</f>
        <v>8552.1</v>
      </c>
      <c r="E1458" s="9">
        <f>E1459</f>
        <v>8552.1</v>
      </c>
      <c r="F1458" s="9">
        <f t="shared" ref="F1458:G1458" si="796">F1459</f>
        <v>6782.1709199999996</v>
      </c>
      <c r="G1458" s="9">
        <f t="shared" si="796"/>
        <v>6782.1709199999996</v>
      </c>
      <c r="H1458" s="9">
        <f>H1459</f>
        <v>6782.1709199999996</v>
      </c>
      <c r="I1458" s="9">
        <f t="shared" si="780"/>
        <v>79.304158276914436</v>
      </c>
      <c r="J1458" s="9">
        <f t="shared" si="781"/>
        <v>100</v>
      </c>
    </row>
    <row r="1459" spans="1:10">
      <c r="A1459" s="8" t="s">
        <v>82</v>
      </c>
      <c r="B1459" s="1" t="s">
        <v>246</v>
      </c>
      <c r="C1459" s="1" t="s">
        <v>83</v>
      </c>
      <c r="D1459" s="9">
        <f>ведомство!G412</f>
        <v>8552.1</v>
      </c>
      <c r="E1459" s="9">
        <f>ведомство!H412</f>
        <v>8552.1</v>
      </c>
      <c r="F1459" s="9">
        <f>ведомство!I412</f>
        <v>6782.1709199999996</v>
      </c>
      <c r="G1459" s="9">
        <f>ведомство!J412</f>
        <v>6782.1709199999996</v>
      </c>
      <c r="H1459" s="9">
        <f>ведомство!K412</f>
        <v>6782.1709199999996</v>
      </c>
      <c r="I1459" s="9">
        <f t="shared" si="780"/>
        <v>79.304158276914436</v>
      </c>
      <c r="J1459" s="9">
        <f t="shared" si="781"/>
        <v>100</v>
      </c>
    </row>
    <row r="1460" spans="1:10" ht="25.5">
      <c r="A1460" s="8" t="s">
        <v>76</v>
      </c>
      <c r="B1460" s="1" t="s">
        <v>247</v>
      </c>
      <c r="C1460" s="1" t="s">
        <v>0</v>
      </c>
      <c r="D1460" s="9">
        <f>D1461</f>
        <v>37840</v>
      </c>
      <c r="E1460" s="9">
        <f>E1461</f>
        <v>37840</v>
      </c>
      <c r="F1460" s="9">
        <f t="shared" ref="F1460:G1461" si="797">F1461</f>
        <v>26200</v>
      </c>
      <c r="G1460" s="9">
        <f t="shared" si="797"/>
        <v>26200</v>
      </c>
      <c r="H1460" s="9">
        <f>H1461</f>
        <v>26200</v>
      </c>
      <c r="I1460" s="9">
        <f t="shared" si="780"/>
        <v>69.238900634249461</v>
      </c>
      <c r="J1460" s="9">
        <f t="shared" si="781"/>
        <v>100</v>
      </c>
    </row>
    <row r="1461" spans="1:10" ht="25.5">
      <c r="A1461" s="8" t="s">
        <v>80</v>
      </c>
      <c r="B1461" s="1" t="s">
        <v>247</v>
      </c>
      <c r="C1461" s="1" t="s">
        <v>81</v>
      </c>
      <c r="D1461" s="9">
        <f>D1462</f>
        <v>37840</v>
      </c>
      <c r="E1461" s="9">
        <f>E1462</f>
        <v>37840</v>
      </c>
      <c r="F1461" s="9">
        <f t="shared" si="797"/>
        <v>26200</v>
      </c>
      <c r="G1461" s="9">
        <f t="shared" si="797"/>
        <v>26200</v>
      </c>
      <c r="H1461" s="9">
        <f>H1462</f>
        <v>26200</v>
      </c>
      <c r="I1461" s="9">
        <f t="shared" si="780"/>
        <v>69.238900634249461</v>
      </c>
      <c r="J1461" s="9">
        <f t="shared" si="781"/>
        <v>100</v>
      </c>
    </row>
    <row r="1462" spans="1:10">
      <c r="A1462" s="8" t="s">
        <v>82</v>
      </c>
      <c r="B1462" s="1" t="s">
        <v>247</v>
      </c>
      <c r="C1462" s="1" t="s">
        <v>83</v>
      </c>
      <c r="D1462" s="9">
        <f>ведомство!G415</f>
        <v>37840</v>
      </c>
      <c r="E1462" s="9">
        <f>ведомство!H415</f>
        <v>37840</v>
      </c>
      <c r="F1462" s="9">
        <f>ведомство!I415</f>
        <v>26200</v>
      </c>
      <c r="G1462" s="9">
        <f>ведомство!J415</f>
        <v>26200</v>
      </c>
      <c r="H1462" s="9">
        <f>ведомство!K415</f>
        <v>26200</v>
      </c>
      <c r="I1462" s="9">
        <f t="shared" si="780"/>
        <v>69.238900634249461</v>
      </c>
      <c r="J1462" s="9">
        <f t="shared" si="781"/>
        <v>100</v>
      </c>
    </row>
    <row r="1463" spans="1:10" ht="25.5">
      <c r="A1463" s="8" t="s">
        <v>248</v>
      </c>
      <c r="B1463" s="1" t="s">
        <v>249</v>
      </c>
      <c r="C1463" s="1" t="s">
        <v>0</v>
      </c>
      <c r="D1463" s="9">
        <f>D1464</f>
        <v>2000</v>
      </c>
      <c r="E1463" s="9">
        <f>E1464</f>
        <v>2000</v>
      </c>
      <c r="F1463" s="9">
        <f t="shared" ref="F1463:G1464" si="798">F1464</f>
        <v>0</v>
      </c>
      <c r="G1463" s="9">
        <f t="shared" si="798"/>
        <v>0</v>
      </c>
      <c r="H1463" s="9">
        <f>H1464</f>
        <v>0</v>
      </c>
      <c r="I1463" s="9">
        <f t="shared" si="780"/>
        <v>0</v>
      </c>
      <c r="J1463" s="9">
        <v>0</v>
      </c>
    </row>
    <row r="1464" spans="1:10" ht="25.5">
      <c r="A1464" s="8" t="s">
        <v>64</v>
      </c>
      <c r="B1464" s="1" t="s">
        <v>249</v>
      </c>
      <c r="C1464" s="1" t="s">
        <v>65</v>
      </c>
      <c r="D1464" s="9">
        <f>D1465</f>
        <v>2000</v>
      </c>
      <c r="E1464" s="9">
        <f>E1465</f>
        <v>2000</v>
      </c>
      <c r="F1464" s="9">
        <f t="shared" si="798"/>
        <v>0</v>
      </c>
      <c r="G1464" s="9">
        <f t="shared" si="798"/>
        <v>0</v>
      </c>
      <c r="H1464" s="9">
        <f>H1465</f>
        <v>0</v>
      </c>
      <c r="I1464" s="9">
        <f t="shared" si="780"/>
        <v>0</v>
      </c>
      <c r="J1464" s="9">
        <v>0</v>
      </c>
    </row>
    <row r="1465" spans="1:10" ht="25.5">
      <c r="A1465" s="8" t="s">
        <v>66</v>
      </c>
      <c r="B1465" s="1" t="s">
        <v>249</v>
      </c>
      <c r="C1465" s="1" t="s">
        <v>67</v>
      </c>
      <c r="D1465" s="9">
        <f>ведомство!G418</f>
        <v>2000</v>
      </c>
      <c r="E1465" s="9">
        <f>ведомство!H418</f>
        <v>2000</v>
      </c>
      <c r="F1465" s="9">
        <f>ведомство!I418</f>
        <v>0</v>
      </c>
      <c r="G1465" s="9">
        <f>ведомство!J418</f>
        <v>0</v>
      </c>
      <c r="H1465" s="9">
        <f>ведомство!K418</f>
        <v>0</v>
      </c>
      <c r="I1465" s="9">
        <f t="shared" si="780"/>
        <v>0</v>
      </c>
      <c r="J1465" s="9">
        <v>0</v>
      </c>
    </row>
    <row r="1466" spans="1:10">
      <c r="A1466" s="4" t="s">
        <v>0</v>
      </c>
      <c r="B1466" s="17" t="s">
        <v>0</v>
      </c>
      <c r="C1466" s="5" t="s">
        <v>0</v>
      </c>
      <c r="D1466" s="7" t="s">
        <v>0</v>
      </c>
      <c r="E1466" s="7" t="s">
        <v>0</v>
      </c>
      <c r="F1466" s="7" t="s">
        <v>0</v>
      </c>
      <c r="G1466" s="7" t="s">
        <v>0</v>
      </c>
      <c r="H1466" s="7" t="s">
        <v>0</v>
      </c>
      <c r="I1466" s="7"/>
      <c r="J1466" s="7"/>
    </row>
    <row r="1467" spans="1:10">
      <c r="A1467" s="4" t="s">
        <v>250</v>
      </c>
      <c r="B1467" s="5" t="s">
        <v>251</v>
      </c>
      <c r="C1467" s="5" t="s">
        <v>0</v>
      </c>
      <c r="D1467" s="7">
        <f>D1468+D1471</f>
        <v>28578.800000000003</v>
      </c>
      <c r="E1467" s="7">
        <f>E1468+E1471</f>
        <v>28578.800000000003</v>
      </c>
      <c r="F1467" s="7">
        <f t="shared" ref="F1467:G1467" si="799">F1468+F1471</f>
        <v>22727.90034</v>
      </c>
      <c r="G1467" s="7">
        <f t="shared" si="799"/>
        <v>22727.90034</v>
      </c>
      <c r="H1467" s="7">
        <f>H1468+H1471</f>
        <v>22410.390589999999</v>
      </c>
      <c r="I1467" s="7">
        <f t="shared" si="780"/>
        <v>78.416135701988878</v>
      </c>
      <c r="J1467" s="7">
        <f t="shared" si="781"/>
        <v>98.602995678218463</v>
      </c>
    </row>
    <row r="1468" spans="1:10" ht="25.5">
      <c r="A1468" s="8" t="s">
        <v>245</v>
      </c>
      <c r="B1468" s="1" t="s">
        <v>252</v>
      </c>
      <c r="C1468" s="1" t="s">
        <v>0</v>
      </c>
      <c r="D1468" s="9">
        <f>D1469</f>
        <v>12309.1</v>
      </c>
      <c r="E1468" s="9">
        <f>E1469</f>
        <v>12309.1</v>
      </c>
      <c r="F1468" s="9">
        <f t="shared" ref="F1468:G1469" si="800">F1469</f>
        <v>7693.5003399999996</v>
      </c>
      <c r="G1468" s="9">
        <f t="shared" si="800"/>
        <v>7693.5003399999996</v>
      </c>
      <c r="H1468" s="9">
        <f>H1469</f>
        <v>7693.5003399999996</v>
      </c>
      <c r="I1468" s="9">
        <f t="shared" si="780"/>
        <v>62.502541534312009</v>
      </c>
      <c r="J1468" s="9">
        <f t="shared" si="781"/>
        <v>100</v>
      </c>
    </row>
    <row r="1469" spans="1:10" ht="25.5">
      <c r="A1469" s="8" t="s">
        <v>80</v>
      </c>
      <c r="B1469" s="1" t="s">
        <v>252</v>
      </c>
      <c r="C1469" s="1" t="s">
        <v>81</v>
      </c>
      <c r="D1469" s="9">
        <f>D1470</f>
        <v>12309.1</v>
      </c>
      <c r="E1469" s="9">
        <f>E1470</f>
        <v>12309.1</v>
      </c>
      <c r="F1469" s="9">
        <f t="shared" si="800"/>
        <v>7693.5003399999996</v>
      </c>
      <c r="G1469" s="9">
        <f t="shared" si="800"/>
        <v>7693.5003399999996</v>
      </c>
      <c r="H1469" s="9">
        <f>H1470</f>
        <v>7693.5003399999996</v>
      </c>
      <c r="I1469" s="9">
        <f t="shared" si="780"/>
        <v>62.502541534312009</v>
      </c>
      <c r="J1469" s="9">
        <f t="shared" si="781"/>
        <v>100</v>
      </c>
    </row>
    <row r="1470" spans="1:10">
      <c r="A1470" s="8" t="s">
        <v>82</v>
      </c>
      <c r="B1470" s="1" t="s">
        <v>252</v>
      </c>
      <c r="C1470" s="1" t="s">
        <v>83</v>
      </c>
      <c r="D1470" s="9">
        <f>ведомство!G422</f>
        <v>12309.1</v>
      </c>
      <c r="E1470" s="9">
        <f>ведомство!H422</f>
        <v>12309.1</v>
      </c>
      <c r="F1470" s="9">
        <f>ведомство!I422</f>
        <v>7693.5003399999996</v>
      </c>
      <c r="G1470" s="9">
        <f>ведомство!J422</f>
        <v>7693.5003399999996</v>
      </c>
      <c r="H1470" s="9">
        <f>ведомство!K422</f>
        <v>7693.5003399999996</v>
      </c>
      <c r="I1470" s="9">
        <f t="shared" si="780"/>
        <v>62.502541534312009</v>
      </c>
      <c r="J1470" s="9">
        <f t="shared" si="781"/>
        <v>100</v>
      </c>
    </row>
    <row r="1471" spans="1:10" ht="25.5">
      <c r="A1471" s="8" t="s">
        <v>76</v>
      </c>
      <c r="B1471" s="1" t="s">
        <v>253</v>
      </c>
      <c r="C1471" s="1" t="s">
        <v>0</v>
      </c>
      <c r="D1471" s="9">
        <f>D1472</f>
        <v>16269.7</v>
      </c>
      <c r="E1471" s="9">
        <f>E1472</f>
        <v>16269.7</v>
      </c>
      <c r="F1471" s="9">
        <f t="shared" ref="F1471:G1472" si="801">F1472</f>
        <v>15034.4</v>
      </c>
      <c r="G1471" s="9">
        <f t="shared" si="801"/>
        <v>15034.4</v>
      </c>
      <c r="H1471" s="9">
        <f>H1472</f>
        <v>14716.89025</v>
      </c>
      <c r="I1471" s="9">
        <f t="shared" si="780"/>
        <v>90.455818177348078</v>
      </c>
      <c r="J1471" s="9">
        <f t="shared" si="781"/>
        <v>97.888111597403295</v>
      </c>
    </row>
    <row r="1472" spans="1:10" ht="25.5">
      <c r="A1472" s="8" t="s">
        <v>80</v>
      </c>
      <c r="B1472" s="1" t="s">
        <v>253</v>
      </c>
      <c r="C1472" s="1" t="s">
        <v>81</v>
      </c>
      <c r="D1472" s="9">
        <f>D1473</f>
        <v>16269.7</v>
      </c>
      <c r="E1472" s="9">
        <f>E1473</f>
        <v>16269.7</v>
      </c>
      <c r="F1472" s="9">
        <f t="shared" si="801"/>
        <v>15034.4</v>
      </c>
      <c r="G1472" s="9">
        <f t="shared" si="801"/>
        <v>15034.4</v>
      </c>
      <c r="H1472" s="9">
        <f>H1473</f>
        <v>14716.89025</v>
      </c>
      <c r="I1472" s="9">
        <f t="shared" si="780"/>
        <v>90.455818177348078</v>
      </c>
      <c r="J1472" s="9">
        <f t="shared" si="781"/>
        <v>97.888111597403295</v>
      </c>
    </row>
    <row r="1473" spans="1:10">
      <c r="A1473" s="8" t="s">
        <v>82</v>
      </c>
      <c r="B1473" s="1" t="s">
        <v>253</v>
      </c>
      <c r="C1473" s="1" t="s">
        <v>83</v>
      </c>
      <c r="D1473" s="9">
        <f>ведомство!G425</f>
        <v>16269.7</v>
      </c>
      <c r="E1473" s="9">
        <f>ведомство!H425</f>
        <v>16269.7</v>
      </c>
      <c r="F1473" s="9">
        <f>ведомство!I425</f>
        <v>15034.4</v>
      </c>
      <c r="G1473" s="9">
        <f>ведомство!J425</f>
        <v>15034.4</v>
      </c>
      <c r="H1473" s="9">
        <f>ведомство!K425</f>
        <v>14716.89025</v>
      </c>
      <c r="I1473" s="9">
        <f t="shared" si="780"/>
        <v>90.455818177348078</v>
      </c>
      <c r="J1473" s="9">
        <f t="shared" si="781"/>
        <v>97.888111597403295</v>
      </c>
    </row>
    <row r="1474" spans="1:10">
      <c r="A1474" s="4" t="s">
        <v>0</v>
      </c>
      <c r="B1474" s="17" t="s">
        <v>0</v>
      </c>
      <c r="C1474" s="5" t="s">
        <v>0</v>
      </c>
      <c r="D1474" s="7" t="s">
        <v>0</v>
      </c>
      <c r="E1474" s="7" t="s">
        <v>0</v>
      </c>
      <c r="F1474" s="7" t="s">
        <v>0</v>
      </c>
      <c r="G1474" s="7" t="s">
        <v>0</v>
      </c>
      <c r="H1474" s="7" t="s">
        <v>0</v>
      </c>
      <c r="I1474" s="7"/>
      <c r="J1474" s="7"/>
    </row>
    <row r="1475" spans="1:10">
      <c r="A1475" s="4" t="s">
        <v>254</v>
      </c>
      <c r="B1475" s="5" t="s">
        <v>255</v>
      </c>
      <c r="C1475" s="5" t="s">
        <v>0</v>
      </c>
      <c r="D1475" s="7">
        <f>D1476+D1479+D1482+D1485</f>
        <v>251950.5</v>
      </c>
      <c r="E1475" s="7">
        <f>E1476+E1479+E1482+E1485</f>
        <v>251950.5</v>
      </c>
      <c r="F1475" s="7">
        <f t="shared" ref="F1475:G1475" si="802">F1476+F1479+F1482+F1485</f>
        <v>204787.51254000003</v>
      </c>
      <c r="G1475" s="7">
        <f t="shared" si="802"/>
        <v>204787.51254000003</v>
      </c>
      <c r="H1475" s="7">
        <f>H1476+H1479+H1482+H1485</f>
        <v>204581.56862999999</v>
      </c>
      <c r="I1475" s="7">
        <f t="shared" si="780"/>
        <v>81.199111980329462</v>
      </c>
      <c r="J1475" s="7">
        <f t="shared" si="781"/>
        <v>99.899435318371872</v>
      </c>
    </row>
    <row r="1476" spans="1:10" ht="25.5">
      <c r="A1476" s="8" t="s">
        <v>245</v>
      </c>
      <c r="B1476" s="1" t="s">
        <v>256</v>
      </c>
      <c r="C1476" s="1" t="s">
        <v>0</v>
      </c>
      <c r="D1476" s="9">
        <f>D1477</f>
        <v>73075.8</v>
      </c>
      <c r="E1476" s="9">
        <f>E1477</f>
        <v>73075.8</v>
      </c>
      <c r="F1476" s="9">
        <f t="shared" ref="F1476:G1477" si="803">F1477</f>
        <v>70172.602540000007</v>
      </c>
      <c r="G1476" s="9">
        <f t="shared" si="803"/>
        <v>70172.602540000007</v>
      </c>
      <c r="H1476" s="9">
        <f>H1477</f>
        <v>70172.602540000007</v>
      </c>
      <c r="I1476" s="9">
        <f t="shared" si="780"/>
        <v>96.0271424192414</v>
      </c>
      <c r="J1476" s="9">
        <f t="shared" si="781"/>
        <v>100</v>
      </c>
    </row>
    <row r="1477" spans="1:10" ht="25.5">
      <c r="A1477" s="8" t="s">
        <v>80</v>
      </c>
      <c r="B1477" s="1" t="s">
        <v>256</v>
      </c>
      <c r="C1477" s="1" t="s">
        <v>81</v>
      </c>
      <c r="D1477" s="9">
        <f>D1478</f>
        <v>73075.8</v>
      </c>
      <c r="E1477" s="9">
        <f>E1478</f>
        <v>73075.8</v>
      </c>
      <c r="F1477" s="9">
        <f t="shared" si="803"/>
        <v>70172.602540000007</v>
      </c>
      <c r="G1477" s="9">
        <f t="shared" si="803"/>
        <v>70172.602540000007</v>
      </c>
      <c r="H1477" s="9">
        <f>H1478</f>
        <v>70172.602540000007</v>
      </c>
      <c r="I1477" s="9">
        <f t="shared" si="780"/>
        <v>96.0271424192414</v>
      </c>
      <c r="J1477" s="9">
        <f t="shared" si="781"/>
        <v>100</v>
      </c>
    </row>
    <row r="1478" spans="1:10">
      <c r="A1478" s="8" t="s">
        <v>82</v>
      </c>
      <c r="B1478" s="1" t="s">
        <v>256</v>
      </c>
      <c r="C1478" s="1" t="s">
        <v>83</v>
      </c>
      <c r="D1478" s="9">
        <f>ведомство!G429</f>
        <v>73075.8</v>
      </c>
      <c r="E1478" s="9">
        <f>ведомство!H429</f>
        <v>73075.8</v>
      </c>
      <c r="F1478" s="9">
        <f>ведомство!I429</f>
        <v>70172.602540000007</v>
      </c>
      <c r="G1478" s="9">
        <f>ведомство!J429</f>
        <v>70172.602540000007</v>
      </c>
      <c r="H1478" s="9">
        <f>ведомство!K429</f>
        <v>70172.602540000007</v>
      </c>
      <c r="I1478" s="9">
        <f t="shared" si="780"/>
        <v>96.0271424192414</v>
      </c>
      <c r="J1478" s="9">
        <f t="shared" si="781"/>
        <v>100</v>
      </c>
    </row>
    <row r="1479" spans="1:10" ht="25.5">
      <c r="A1479" s="8" t="s">
        <v>257</v>
      </c>
      <c r="B1479" s="1" t="s">
        <v>258</v>
      </c>
      <c r="C1479" s="1" t="s">
        <v>0</v>
      </c>
      <c r="D1479" s="9">
        <f>D1480</f>
        <v>9598.5</v>
      </c>
      <c r="E1479" s="9">
        <f>E1480</f>
        <v>9598.5</v>
      </c>
      <c r="F1479" s="9">
        <f t="shared" ref="F1479:G1480" si="804">F1480</f>
        <v>0</v>
      </c>
      <c r="G1479" s="9">
        <f t="shared" si="804"/>
        <v>0</v>
      </c>
      <c r="H1479" s="9">
        <f>H1480</f>
        <v>0</v>
      </c>
      <c r="I1479" s="9">
        <f t="shared" si="780"/>
        <v>0</v>
      </c>
      <c r="J1479" s="9">
        <v>0</v>
      </c>
    </row>
    <row r="1480" spans="1:10" ht="25.5">
      <c r="A1480" s="8" t="s">
        <v>64</v>
      </c>
      <c r="B1480" s="1" t="s">
        <v>258</v>
      </c>
      <c r="C1480" s="1" t="s">
        <v>65</v>
      </c>
      <c r="D1480" s="9">
        <f>D1481</f>
        <v>9598.5</v>
      </c>
      <c r="E1480" s="9">
        <f>E1481</f>
        <v>9598.5</v>
      </c>
      <c r="F1480" s="9">
        <f t="shared" si="804"/>
        <v>0</v>
      </c>
      <c r="G1480" s="9">
        <f t="shared" si="804"/>
        <v>0</v>
      </c>
      <c r="H1480" s="9">
        <f>H1481</f>
        <v>0</v>
      </c>
      <c r="I1480" s="9">
        <f t="shared" si="780"/>
        <v>0</v>
      </c>
      <c r="J1480" s="9">
        <v>0</v>
      </c>
    </row>
    <row r="1481" spans="1:10" ht="25.5">
      <c r="A1481" s="8" t="s">
        <v>66</v>
      </c>
      <c r="B1481" s="1" t="s">
        <v>258</v>
      </c>
      <c r="C1481" s="1" t="s">
        <v>67</v>
      </c>
      <c r="D1481" s="9">
        <f>ведомство!G432</f>
        <v>9598.5</v>
      </c>
      <c r="E1481" s="9">
        <f>ведомство!H432</f>
        <v>9598.5</v>
      </c>
      <c r="F1481" s="9">
        <f>ведомство!I432</f>
        <v>0</v>
      </c>
      <c r="G1481" s="9">
        <f>ведомство!J432</f>
        <v>0</v>
      </c>
      <c r="H1481" s="9">
        <f>ведомство!K432</f>
        <v>0</v>
      </c>
      <c r="I1481" s="9">
        <f t="shared" si="780"/>
        <v>0</v>
      </c>
      <c r="J1481" s="9">
        <v>0</v>
      </c>
    </row>
    <row r="1482" spans="1:10" ht="25.5">
      <c r="A1482" s="8" t="s">
        <v>76</v>
      </c>
      <c r="B1482" s="1" t="s">
        <v>259</v>
      </c>
      <c r="C1482" s="1" t="s">
        <v>0</v>
      </c>
      <c r="D1482" s="9">
        <f>D1483</f>
        <v>168771</v>
      </c>
      <c r="E1482" s="9">
        <f>E1483</f>
        <v>168771</v>
      </c>
      <c r="F1482" s="9">
        <f t="shared" ref="F1482:G1483" si="805">F1483</f>
        <v>134614.91</v>
      </c>
      <c r="G1482" s="9">
        <f t="shared" si="805"/>
        <v>134614.91</v>
      </c>
      <c r="H1482" s="9">
        <f>H1483</f>
        <v>134408.96609</v>
      </c>
      <c r="I1482" s="9">
        <f t="shared" si="780"/>
        <v>79.639846946454071</v>
      </c>
      <c r="J1482" s="9">
        <f t="shared" si="781"/>
        <v>99.84701255603855</v>
      </c>
    </row>
    <row r="1483" spans="1:10" ht="25.5">
      <c r="A1483" s="8" t="s">
        <v>80</v>
      </c>
      <c r="B1483" s="1" t="s">
        <v>259</v>
      </c>
      <c r="C1483" s="1" t="s">
        <v>81</v>
      </c>
      <c r="D1483" s="9">
        <f>D1484</f>
        <v>168771</v>
      </c>
      <c r="E1483" s="9">
        <f>E1484</f>
        <v>168771</v>
      </c>
      <c r="F1483" s="9">
        <f t="shared" si="805"/>
        <v>134614.91</v>
      </c>
      <c r="G1483" s="9">
        <f t="shared" si="805"/>
        <v>134614.91</v>
      </c>
      <c r="H1483" s="9">
        <f>H1484</f>
        <v>134408.96609</v>
      </c>
      <c r="I1483" s="9">
        <f t="shared" si="780"/>
        <v>79.639846946454071</v>
      </c>
      <c r="J1483" s="9">
        <f t="shared" si="781"/>
        <v>99.84701255603855</v>
      </c>
    </row>
    <row r="1484" spans="1:10">
      <c r="A1484" s="8" t="s">
        <v>82</v>
      </c>
      <c r="B1484" s="1" t="s">
        <v>259</v>
      </c>
      <c r="C1484" s="1" t="s">
        <v>83</v>
      </c>
      <c r="D1484" s="9">
        <f>ведомство!G435</f>
        <v>168771</v>
      </c>
      <c r="E1484" s="9">
        <f>ведомство!H435</f>
        <v>168771</v>
      </c>
      <c r="F1484" s="9">
        <f>ведомство!I435</f>
        <v>134614.91</v>
      </c>
      <c r="G1484" s="9">
        <f>ведомство!J435</f>
        <v>134614.91</v>
      </c>
      <c r="H1484" s="9">
        <f>ведомство!K435</f>
        <v>134408.96609</v>
      </c>
      <c r="I1484" s="9">
        <f t="shared" si="780"/>
        <v>79.639846946454071</v>
      </c>
      <c r="J1484" s="9">
        <f t="shared" si="781"/>
        <v>99.84701255603855</v>
      </c>
    </row>
    <row r="1485" spans="1:10" ht="25.5">
      <c r="A1485" s="8" t="s">
        <v>260</v>
      </c>
      <c r="B1485" s="1" t="s">
        <v>261</v>
      </c>
      <c r="C1485" s="1" t="s">
        <v>0</v>
      </c>
      <c r="D1485" s="9">
        <f>D1486</f>
        <v>505.2</v>
      </c>
      <c r="E1485" s="9">
        <f>E1486</f>
        <v>505.2</v>
      </c>
      <c r="F1485" s="9">
        <f t="shared" ref="F1485:G1486" si="806">F1486</f>
        <v>0</v>
      </c>
      <c r="G1485" s="9">
        <f t="shared" si="806"/>
        <v>0</v>
      </c>
      <c r="H1485" s="9">
        <f>H1486</f>
        <v>0</v>
      </c>
      <c r="I1485" s="9">
        <f t="shared" si="780"/>
        <v>0</v>
      </c>
      <c r="J1485" s="9">
        <v>0</v>
      </c>
    </row>
    <row r="1486" spans="1:10" ht="25.5">
      <c r="A1486" s="8" t="s">
        <v>64</v>
      </c>
      <c r="B1486" s="1" t="s">
        <v>261</v>
      </c>
      <c r="C1486" s="1" t="s">
        <v>65</v>
      </c>
      <c r="D1486" s="9">
        <f>D1487</f>
        <v>505.2</v>
      </c>
      <c r="E1486" s="9">
        <f>E1487</f>
        <v>505.2</v>
      </c>
      <c r="F1486" s="9">
        <f t="shared" si="806"/>
        <v>0</v>
      </c>
      <c r="G1486" s="9">
        <f t="shared" si="806"/>
        <v>0</v>
      </c>
      <c r="H1486" s="9">
        <f>H1487</f>
        <v>0</v>
      </c>
      <c r="I1486" s="9">
        <f t="shared" si="780"/>
        <v>0</v>
      </c>
      <c r="J1486" s="9">
        <v>0</v>
      </c>
    </row>
    <row r="1487" spans="1:10" ht="25.5">
      <c r="A1487" s="8" t="s">
        <v>66</v>
      </c>
      <c r="B1487" s="1" t="s">
        <v>261</v>
      </c>
      <c r="C1487" s="1" t="s">
        <v>67</v>
      </c>
      <c r="D1487" s="9">
        <f>ведомство!G438</f>
        <v>505.2</v>
      </c>
      <c r="E1487" s="9">
        <f>ведомство!H438</f>
        <v>505.2</v>
      </c>
      <c r="F1487" s="9">
        <f>ведомство!I438</f>
        <v>0</v>
      </c>
      <c r="G1487" s="9">
        <f>ведомство!J438</f>
        <v>0</v>
      </c>
      <c r="H1487" s="9">
        <f>ведомство!K438</f>
        <v>0</v>
      </c>
      <c r="I1487" s="9">
        <f t="shared" si="780"/>
        <v>0</v>
      </c>
      <c r="J1487" s="9">
        <v>0</v>
      </c>
    </row>
    <row r="1488" spans="1:10">
      <c r="A1488" s="4" t="s">
        <v>0</v>
      </c>
      <c r="B1488" s="17" t="s">
        <v>0</v>
      </c>
      <c r="C1488" s="5" t="s">
        <v>0</v>
      </c>
      <c r="D1488" s="7" t="s">
        <v>0</v>
      </c>
      <c r="E1488" s="7" t="s">
        <v>0</v>
      </c>
      <c r="F1488" s="7" t="s">
        <v>0</v>
      </c>
      <c r="G1488" s="7" t="s">
        <v>0</v>
      </c>
      <c r="H1488" s="7" t="s">
        <v>0</v>
      </c>
      <c r="I1488" s="7"/>
      <c r="J1488" s="7"/>
    </row>
    <row r="1489" spans="1:10" ht="38.25">
      <c r="A1489" s="4" t="s">
        <v>233</v>
      </c>
      <c r="B1489" s="5" t="s">
        <v>234</v>
      </c>
      <c r="C1489" s="5" t="s">
        <v>0</v>
      </c>
      <c r="D1489" s="7">
        <f>D1490+D1499+D1516+D1509</f>
        <v>558080.1</v>
      </c>
      <c r="E1489" s="7">
        <f t="shared" ref="E1489" si="807">E1490+E1499+E1516+E1509</f>
        <v>558080.1</v>
      </c>
      <c r="F1489" s="7">
        <f t="shared" ref="F1489:H1489" si="808">F1490+F1499+F1516+F1509</f>
        <v>378157.78881</v>
      </c>
      <c r="G1489" s="7">
        <f t="shared" si="808"/>
        <v>377089.79136999999</v>
      </c>
      <c r="H1489" s="7">
        <f t="shared" si="808"/>
        <v>371449.77265</v>
      </c>
      <c r="I1489" s="7">
        <f t="shared" si="780"/>
        <v>66.558505248619326</v>
      </c>
      <c r="J1489" s="7">
        <f t="shared" si="781"/>
        <v>98.226133016826395</v>
      </c>
    </row>
    <row r="1490" spans="1:10" ht="25.5">
      <c r="A1490" s="8" t="s">
        <v>245</v>
      </c>
      <c r="B1490" s="1" t="s">
        <v>262</v>
      </c>
      <c r="C1490" s="1" t="s">
        <v>0</v>
      </c>
      <c r="D1490" s="9">
        <f>D1491+D1494+D1496</f>
        <v>394612.9</v>
      </c>
      <c r="E1490" s="9">
        <f>E1491+E1494+E1496</f>
        <v>394612.89999999997</v>
      </c>
      <c r="F1490" s="9">
        <f t="shared" ref="F1490:G1490" si="809">F1491+F1494+F1496</f>
        <v>250757.06385999999</v>
      </c>
      <c r="G1490" s="9">
        <f t="shared" si="809"/>
        <v>249689.06641999999</v>
      </c>
      <c r="H1490" s="9">
        <f>H1491+H1494+H1496</f>
        <v>249689.06641999999</v>
      </c>
      <c r="I1490" s="9">
        <f t="shared" si="780"/>
        <v>63.274430820685289</v>
      </c>
      <c r="J1490" s="9">
        <f t="shared" si="781"/>
        <v>99.574090785894555</v>
      </c>
    </row>
    <row r="1491" spans="1:10" ht="51">
      <c r="A1491" s="8" t="s">
        <v>60</v>
      </c>
      <c r="B1491" s="1" t="s">
        <v>262</v>
      </c>
      <c r="C1491" s="1" t="s">
        <v>61</v>
      </c>
      <c r="D1491" s="9">
        <f>D1493+D1492</f>
        <v>350039.4</v>
      </c>
      <c r="E1491" s="9">
        <f t="shared" ref="E1491" si="810">E1493+E1492</f>
        <v>350025.03772999998</v>
      </c>
      <c r="F1491" s="9">
        <f t="shared" ref="F1491:H1491" si="811">F1493+F1492</f>
        <v>230609.48290999999</v>
      </c>
      <c r="G1491" s="9">
        <f t="shared" si="811"/>
        <v>229541.48546999999</v>
      </c>
      <c r="H1491" s="9">
        <f t="shared" si="811"/>
        <v>229541.48546999999</v>
      </c>
      <c r="I1491" s="9">
        <f t="shared" si="780"/>
        <v>65.578590308463063</v>
      </c>
      <c r="J1491" s="9">
        <f t="shared" si="781"/>
        <v>99.536880519168932</v>
      </c>
    </row>
    <row r="1492" spans="1:10" s="88" customFormat="1">
      <c r="A1492" s="59" t="s">
        <v>78</v>
      </c>
      <c r="B1492" s="1" t="s">
        <v>262</v>
      </c>
      <c r="C1492" s="1">
        <v>110</v>
      </c>
      <c r="D1492" s="9">
        <f>ведомство!G442</f>
        <v>117571.2</v>
      </c>
      <c r="E1492" s="9">
        <f>ведомство!H442</f>
        <v>117571.19999999998</v>
      </c>
      <c r="F1492" s="9">
        <f>ведомство!I442</f>
        <v>31356.062310000001</v>
      </c>
      <c r="G1492" s="9">
        <f>ведомство!J442</f>
        <v>31231.775820000003</v>
      </c>
      <c r="H1492" s="9">
        <f>ведомство!K442</f>
        <v>31231.775820000003</v>
      </c>
      <c r="I1492" s="9">
        <f t="shared" ref="I1492" si="812">H1492/E1492*100</f>
        <v>26.564138003184461</v>
      </c>
      <c r="J1492" s="9">
        <f t="shared" ref="J1492" si="813">H1492/F1492*100</f>
        <v>99.603628514412151</v>
      </c>
    </row>
    <row r="1493" spans="1:10" ht="25.5">
      <c r="A1493" s="8" t="s">
        <v>62</v>
      </c>
      <c r="B1493" s="1" t="s">
        <v>262</v>
      </c>
      <c r="C1493" s="1" t="s">
        <v>63</v>
      </c>
      <c r="D1493" s="9">
        <f>ведомство!G443</f>
        <v>232468.2</v>
      </c>
      <c r="E1493" s="9">
        <f>ведомство!H443</f>
        <v>232453.83773000003</v>
      </c>
      <c r="F1493" s="9">
        <f>ведомство!I443</f>
        <v>199253.42059999998</v>
      </c>
      <c r="G1493" s="9">
        <f>ведомство!J443</f>
        <v>198309.70964999998</v>
      </c>
      <c r="H1493" s="9">
        <f>ведомство!K443</f>
        <v>198309.70964999998</v>
      </c>
      <c r="I1493" s="9">
        <f t="shared" si="780"/>
        <v>85.311437138044084</v>
      </c>
      <c r="J1493" s="9">
        <f t="shared" si="781"/>
        <v>99.526376537397326</v>
      </c>
    </row>
    <row r="1494" spans="1:10" ht="25.5">
      <c r="A1494" s="8" t="s">
        <v>64</v>
      </c>
      <c r="B1494" s="1" t="s">
        <v>262</v>
      </c>
      <c r="C1494" s="1" t="s">
        <v>65</v>
      </c>
      <c r="D1494" s="9">
        <f>D1495</f>
        <v>44040.800000000003</v>
      </c>
      <c r="E1494" s="9">
        <f>E1495</f>
        <v>44040.800000000003</v>
      </c>
      <c r="F1494" s="9">
        <f t="shared" ref="F1494:G1494" si="814">F1495</f>
        <v>19731.750260000001</v>
      </c>
      <c r="G1494" s="9">
        <f t="shared" si="814"/>
        <v>19731.750260000001</v>
      </c>
      <c r="H1494" s="9">
        <f>H1495</f>
        <v>19731.750260000001</v>
      </c>
      <c r="I1494" s="9">
        <f t="shared" si="780"/>
        <v>44.803342037383516</v>
      </c>
      <c r="J1494" s="9">
        <f t="shared" si="781"/>
        <v>100</v>
      </c>
    </row>
    <row r="1495" spans="1:10" ht="25.5">
      <c r="A1495" s="8" t="s">
        <v>66</v>
      </c>
      <c r="B1495" s="1" t="s">
        <v>262</v>
      </c>
      <c r="C1495" s="1" t="s">
        <v>67</v>
      </c>
      <c r="D1495" s="9">
        <f>ведомство!G445</f>
        <v>44040.800000000003</v>
      </c>
      <c r="E1495" s="9">
        <f>ведомство!H445</f>
        <v>44040.800000000003</v>
      </c>
      <c r="F1495" s="9">
        <f>ведомство!I445</f>
        <v>19731.750260000001</v>
      </c>
      <c r="G1495" s="9">
        <f>ведомство!J445</f>
        <v>19731.750260000001</v>
      </c>
      <c r="H1495" s="9">
        <f>ведомство!K445</f>
        <v>19731.750260000001</v>
      </c>
      <c r="I1495" s="9">
        <f t="shared" si="780"/>
        <v>44.803342037383516</v>
      </c>
      <c r="J1495" s="9">
        <f t="shared" si="781"/>
        <v>100</v>
      </c>
    </row>
    <row r="1496" spans="1:10">
      <c r="A1496" s="8" t="s">
        <v>72</v>
      </c>
      <c r="B1496" s="1" t="s">
        <v>262</v>
      </c>
      <c r="C1496" s="1" t="s">
        <v>73</v>
      </c>
      <c r="D1496" s="9">
        <f>D1497+D1498</f>
        <v>532.70000000000005</v>
      </c>
      <c r="E1496" s="9">
        <f>E1497+E1498</f>
        <v>547.06227000000001</v>
      </c>
      <c r="F1496" s="9">
        <f t="shared" ref="F1496:G1496" si="815">F1497+F1498</f>
        <v>415.83069</v>
      </c>
      <c r="G1496" s="9">
        <f t="shared" si="815"/>
        <v>415.83069</v>
      </c>
      <c r="H1496" s="9">
        <f>H1497+H1498</f>
        <v>415.83069</v>
      </c>
      <c r="I1496" s="9">
        <f t="shared" si="780"/>
        <v>76.011582739931953</v>
      </c>
      <c r="J1496" s="9">
        <f t="shared" si="781"/>
        <v>100</v>
      </c>
    </row>
    <row r="1497" spans="1:10">
      <c r="A1497" s="8" t="s">
        <v>84</v>
      </c>
      <c r="B1497" s="1" t="s">
        <v>262</v>
      </c>
      <c r="C1497" s="1" t="s">
        <v>85</v>
      </c>
      <c r="D1497" s="9">
        <f>ведомство!G447</f>
        <v>180</v>
      </c>
      <c r="E1497" s="9">
        <f>ведомство!H447</f>
        <v>194.36227</v>
      </c>
      <c r="F1497" s="9">
        <f>ведомство!I447</f>
        <v>191.8749</v>
      </c>
      <c r="G1497" s="9">
        <f>ведомство!J447</f>
        <v>191.8749</v>
      </c>
      <c r="H1497" s="9">
        <f>ведомство!K447</f>
        <v>191.8749</v>
      </c>
      <c r="I1497" s="9">
        <f t="shared" si="780"/>
        <v>98.720240301782852</v>
      </c>
      <c r="J1497" s="9">
        <f t="shared" si="781"/>
        <v>100</v>
      </c>
    </row>
    <row r="1498" spans="1:10">
      <c r="A1498" s="8" t="s">
        <v>74</v>
      </c>
      <c r="B1498" s="1" t="s">
        <v>262</v>
      </c>
      <c r="C1498" s="1" t="s">
        <v>75</v>
      </c>
      <c r="D1498" s="9">
        <f>ведомство!G448</f>
        <v>352.7</v>
      </c>
      <c r="E1498" s="9">
        <f>ведомство!H448</f>
        <v>352.7</v>
      </c>
      <c r="F1498" s="9">
        <f>ведомство!I448</f>
        <v>223.95578999999998</v>
      </c>
      <c r="G1498" s="9">
        <f>ведомство!J448</f>
        <v>223.95578999999998</v>
      </c>
      <c r="H1498" s="9">
        <f>ведомство!K448</f>
        <v>223.95578999999998</v>
      </c>
      <c r="I1498" s="9">
        <f t="shared" ref="I1498:I1571" si="816">H1498/E1498*100</f>
        <v>63.497530479160758</v>
      </c>
      <c r="J1498" s="9">
        <f t="shared" ref="J1498:J1571" si="817">H1498/F1498*100</f>
        <v>100</v>
      </c>
    </row>
    <row r="1499" spans="1:10" ht="25.5">
      <c r="A1499" s="8" t="s">
        <v>58</v>
      </c>
      <c r="B1499" s="1" t="s">
        <v>235</v>
      </c>
      <c r="C1499" s="1" t="s">
        <v>0</v>
      </c>
      <c r="D1499" s="9">
        <f>D1500+D1502+D1504+D1506</f>
        <v>57447.3</v>
      </c>
      <c r="E1499" s="9">
        <f>E1500+E1502+E1504+E1506</f>
        <v>57447.3</v>
      </c>
      <c r="F1499" s="9">
        <f t="shared" ref="F1499:G1499" si="818">F1500+F1502+F1504+F1506</f>
        <v>45288.284950000001</v>
      </c>
      <c r="G1499" s="9">
        <f t="shared" si="818"/>
        <v>45288.284950000001</v>
      </c>
      <c r="H1499" s="9">
        <f>H1500+H1502+H1504+H1506</f>
        <v>41479.745469999994</v>
      </c>
      <c r="I1499" s="9">
        <f t="shared" si="816"/>
        <v>72.204865102450412</v>
      </c>
      <c r="J1499" s="9">
        <f t="shared" si="817"/>
        <v>91.59045328343791</v>
      </c>
    </row>
    <row r="1500" spans="1:10" ht="51">
      <c r="A1500" s="8" t="s">
        <v>60</v>
      </c>
      <c r="B1500" s="1" t="s">
        <v>235</v>
      </c>
      <c r="C1500" s="1" t="s">
        <v>61</v>
      </c>
      <c r="D1500" s="9">
        <f>D1501</f>
        <v>49472.800000000003</v>
      </c>
      <c r="E1500" s="9">
        <f t="shared" ref="E1500:H1500" si="819">E1501</f>
        <v>49326.221160000001</v>
      </c>
      <c r="F1500" s="9">
        <f t="shared" si="819"/>
        <v>37458.721160000001</v>
      </c>
      <c r="G1500" s="9">
        <f t="shared" si="819"/>
        <v>37458.721160000001</v>
      </c>
      <c r="H1500" s="9">
        <f t="shared" si="819"/>
        <v>34531.798369999997</v>
      </c>
      <c r="I1500" s="9">
        <f t="shared" si="816"/>
        <v>70.006981191583321</v>
      </c>
      <c r="J1500" s="9">
        <f t="shared" si="817"/>
        <v>92.186271449316067</v>
      </c>
    </row>
    <row r="1501" spans="1:10" ht="25.5">
      <c r="A1501" s="8" t="s">
        <v>62</v>
      </c>
      <c r="B1501" s="1" t="s">
        <v>235</v>
      </c>
      <c r="C1501" s="1" t="s">
        <v>63</v>
      </c>
      <c r="D1501" s="9">
        <f>ведомство!G385</f>
        <v>49472.800000000003</v>
      </c>
      <c r="E1501" s="9">
        <f>ведомство!H385</f>
        <v>49326.221160000001</v>
      </c>
      <c r="F1501" s="9">
        <f>ведомство!I385</f>
        <v>37458.721160000001</v>
      </c>
      <c r="G1501" s="9">
        <f>ведомство!J385</f>
        <v>37458.721160000001</v>
      </c>
      <c r="H1501" s="9">
        <f>ведомство!K385</f>
        <v>34531.798369999997</v>
      </c>
      <c r="I1501" s="9">
        <f t="shared" si="816"/>
        <v>70.006981191583321</v>
      </c>
      <c r="J1501" s="9">
        <f t="shared" si="817"/>
        <v>92.186271449316067</v>
      </c>
    </row>
    <row r="1502" spans="1:10" ht="25.5">
      <c r="A1502" s="8" t="s">
        <v>64</v>
      </c>
      <c r="B1502" s="1" t="s">
        <v>235</v>
      </c>
      <c r="C1502" s="1" t="s">
        <v>65</v>
      </c>
      <c r="D1502" s="9">
        <f>D1503</f>
        <v>6178</v>
      </c>
      <c r="E1502" s="9">
        <f>E1503</f>
        <v>6178</v>
      </c>
      <c r="F1502" s="9">
        <f t="shared" ref="F1502:G1502" si="820">F1503</f>
        <v>5901.585</v>
      </c>
      <c r="G1502" s="9">
        <f t="shared" si="820"/>
        <v>5901.585</v>
      </c>
      <c r="H1502" s="9">
        <f>H1503</f>
        <v>5131.6452200000003</v>
      </c>
      <c r="I1502" s="9">
        <f t="shared" si="816"/>
        <v>83.063211719002922</v>
      </c>
      <c r="J1502" s="9">
        <f t="shared" si="817"/>
        <v>86.953678037340822</v>
      </c>
    </row>
    <row r="1503" spans="1:10" ht="25.5">
      <c r="A1503" s="8" t="s">
        <v>66</v>
      </c>
      <c r="B1503" s="1" t="s">
        <v>235</v>
      </c>
      <c r="C1503" s="1" t="s">
        <v>67</v>
      </c>
      <c r="D1503" s="9">
        <f>ведомство!G387</f>
        <v>6178</v>
      </c>
      <c r="E1503" s="9">
        <f>ведомство!H387</f>
        <v>6178</v>
      </c>
      <c r="F1503" s="9">
        <f>ведомство!I387</f>
        <v>5901.585</v>
      </c>
      <c r="G1503" s="9">
        <f>ведомство!J387</f>
        <v>5901.585</v>
      </c>
      <c r="H1503" s="9">
        <f>ведомство!K387</f>
        <v>5131.6452200000003</v>
      </c>
      <c r="I1503" s="9">
        <f t="shared" si="816"/>
        <v>83.063211719002922</v>
      </c>
      <c r="J1503" s="9">
        <f t="shared" si="817"/>
        <v>86.953678037340822</v>
      </c>
    </row>
    <row r="1504" spans="1:10">
      <c r="A1504" s="8" t="s">
        <v>68</v>
      </c>
      <c r="B1504" s="1" t="s">
        <v>235</v>
      </c>
      <c r="C1504" s="1" t="s">
        <v>69</v>
      </c>
      <c r="D1504" s="9">
        <f>D1505</f>
        <v>60</v>
      </c>
      <c r="E1504" s="9">
        <f>E1505</f>
        <v>60</v>
      </c>
      <c r="F1504" s="9">
        <f t="shared" ref="F1504:G1504" si="821">F1505</f>
        <v>60</v>
      </c>
      <c r="G1504" s="9">
        <f t="shared" si="821"/>
        <v>60</v>
      </c>
      <c r="H1504" s="9">
        <f>H1505</f>
        <v>0</v>
      </c>
      <c r="I1504" s="9">
        <f t="shared" si="816"/>
        <v>0</v>
      </c>
      <c r="J1504" s="9">
        <v>0</v>
      </c>
    </row>
    <row r="1505" spans="1:10">
      <c r="A1505" s="8" t="s">
        <v>70</v>
      </c>
      <c r="B1505" s="1" t="s">
        <v>235</v>
      </c>
      <c r="C1505" s="1" t="s">
        <v>71</v>
      </c>
      <c r="D1505" s="9">
        <f>ведомство!G389</f>
        <v>60</v>
      </c>
      <c r="E1505" s="9">
        <f>ведомство!H389</f>
        <v>60</v>
      </c>
      <c r="F1505" s="9">
        <f>ведомство!I389</f>
        <v>60</v>
      </c>
      <c r="G1505" s="9">
        <f>ведомство!J389</f>
        <v>60</v>
      </c>
      <c r="H1505" s="9">
        <f>ведомство!K389</f>
        <v>0</v>
      </c>
      <c r="I1505" s="9">
        <f t="shared" si="816"/>
        <v>0</v>
      </c>
      <c r="J1505" s="9">
        <v>0</v>
      </c>
    </row>
    <row r="1506" spans="1:10">
      <c r="A1506" s="8" t="s">
        <v>72</v>
      </c>
      <c r="B1506" s="1" t="s">
        <v>235</v>
      </c>
      <c r="C1506" s="1" t="s">
        <v>73</v>
      </c>
      <c r="D1506" s="9">
        <f>D1507+D1508</f>
        <v>1736.5</v>
      </c>
      <c r="E1506" s="9">
        <f>E1507+E1508</f>
        <v>1883.0788399999997</v>
      </c>
      <c r="F1506" s="9">
        <f t="shared" ref="F1506:G1506" si="822">F1507+F1508</f>
        <v>1867.9787900000001</v>
      </c>
      <c r="G1506" s="9">
        <f t="shared" si="822"/>
        <v>1867.9787900000001</v>
      </c>
      <c r="H1506" s="9">
        <f>H1507+H1508</f>
        <v>1816.30188</v>
      </c>
      <c r="I1506" s="9">
        <f t="shared" si="816"/>
        <v>96.453841518393375</v>
      </c>
      <c r="J1506" s="9">
        <f t="shared" si="817"/>
        <v>97.233538717000087</v>
      </c>
    </row>
    <row r="1507" spans="1:10">
      <c r="A1507" s="8" t="s">
        <v>84</v>
      </c>
      <c r="B1507" s="1" t="s">
        <v>235</v>
      </c>
      <c r="C1507" s="1" t="s">
        <v>85</v>
      </c>
      <c r="D1507" s="9">
        <f>ведомство!G391</f>
        <v>120</v>
      </c>
      <c r="E1507" s="9">
        <f>ведомство!H391</f>
        <v>305.42979000000003</v>
      </c>
      <c r="F1507" s="9">
        <f>ведомство!I391</f>
        <v>305.42979000000003</v>
      </c>
      <c r="G1507" s="9">
        <f>ведомство!J391</f>
        <v>305.42979000000003</v>
      </c>
      <c r="H1507" s="9">
        <f>ведомство!K391</f>
        <v>305.42979000000003</v>
      </c>
      <c r="I1507" s="9">
        <f t="shared" si="816"/>
        <v>100</v>
      </c>
      <c r="J1507" s="9">
        <f t="shared" si="817"/>
        <v>100</v>
      </c>
    </row>
    <row r="1508" spans="1:10">
      <c r="A1508" s="8" t="s">
        <v>74</v>
      </c>
      <c r="B1508" s="1" t="s">
        <v>235</v>
      </c>
      <c r="C1508" s="1" t="s">
        <v>75</v>
      </c>
      <c r="D1508" s="9">
        <f>ведомство!G392</f>
        <v>1616.5</v>
      </c>
      <c r="E1508" s="9">
        <f>ведомство!H392</f>
        <v>1577.6490499999998</v>
      </c>
      <c r="F1508" s="9">
        <f>ведомство!I392</f>
        <v>1562.549</v>
      </c>
      <c r="G1508" s="9">
        <f>ведомство!J392</f>
        <v>1562.549</v>
      </c>
      <c r="H1508" s="9">
        <f>ведомство!K392</f>
        <v>1510.8720899999998</v>
      </c>
      <c r="I1508" s="9">
        <f t="shared" si="816"/>
        <v>95.767312128131422</v>
      </c>
      <c r="J1508" s="9">
        <f t="shared" si="817"/>
        <v>96.692781474372964</v>
      </c>
    </row>
    <row r="1509" spans="1:10" s="88" customFormat="1" ht="25.5">
      <c r="A1509" s="38" t="s">
        <v>76</v>
      </c>
      <c r="B1509" s="29" t="s">
        <v>1232</v>
      </c>
      <c r="C1509" s="28"/>
      <c r="D1509" s="9">
        <f>D1510+D1512+D1514</f>
        <v>34592.100000000006</v>
      </c>
      <c r="E1509" s="9">
        <f t="shared" ref="E1509" si="823">E1510+E1512+E1514</f>
        <v>34592.112000000001</v>
      </c>
      <c r="F1509" s="9">
        <f t="shared" ref="F1509:H1509" si="824">F1510+F1512+F1514</f>
        <v>11097.4</v>
      </c>
      <c r="G1509" s="9">
        <f t="shared" si="824"/>
        <v>11097.4</v>
      </c>
      <c r="H1509" s="9">
        <f t="shared" si="824"/>
        <v>9499.0937199999989</v>
      </c>
      <c r="I1509" s="9">
        <f t="shared" ref="I1509:I1515" si="825">H1509/E1509*100</f>
        <v>27.460288403321542</v>
      </c>
      <c r="J1509" s="9">
        <f t="shared" ref="J1509:J1515" si="826">H1509/F1509*100</f>
        <v>85.597470758916501</v>
      </c>
    </row>
    <row r="1510" spans="1:10" s="88" customFormat="1" ht="51">
      <c r="A1510" s="59" t="s">
        <v>60</v>
      </c>
      <c r="B1510" s="29" t="s">
        <v>1232</v>
      </c>
      <c r="C1510" s="28">
        <v>100</v>
      </c>
      <c r="D1510" s="9">
        <f>D1511</f>
        <v>30319.4</v>
      </c>
      <c r="E1510" s="9">
        <f t="shared" ref="E1510:H1510" si="827">E1511</f>
        <v>30319.412</v>
      </c>
      <c r="F1510" s="9">
        <f t="shared" si="827"/>
        <v>9512.2999999999993</v>
      </c>
      <c r="G1510" s="9">
        <f t="shared" si="827"/>
        <v>9512.2999999999993</v>
      </c>
      <c r="H1510" s="9">
        <f t="shared" si="827"/>
        <v>8514.1742799999993</v>
      </c>
      <c r="I1510" s="9">
        <f t="shared" si="825"/>
        <v>28.081594326433507</v>
      </c>
      <c r="J1510" s="9">
        <f t="shared" si="826"/>
        <v>89.506999148470925</v>
      </c>
    </row>
    <row r="1511" spans="1:10" s="88" customFormat="1">
      <c r="A1511" s="59" t="s">
        <v>78</v>
      </c>
      <c r="B1511" s="29" t="s">
        <v>1232</v>
      </c>
      <c r="C1511" s="28">
        <v>110</v>
      </c>
      <c r="D1511" s="9">
        <f>ведомство!G451</f>
        <v>30319.4</v>
      </c>
      <c r="E1511" s="9">
        <f>ведомство!H451</f>
        <v>30319.412</v>
      </c>
      <c r="F1511" s="9">
        <f>ведомство!I451</f>
        <v>9512.2999999999993</v>
      </c>
      <c r="G1511" s="9">
        <f>ведомство!J451</f>
        <v>9512.2999999999993</v>
      </c>
      <c r="H1511" s="9">
        <f>ведомство!K451</f>
        <v>8514.1742799999993</v>
      </c>
      <c r="I1511" s="9">
        <f t="shared" si="825"/>
        <v>28.081594326433507</v>
      </c>
      <c r="J1511" s="9">
        <f t="shared" si="826"/>
        <v>89.506999148470925</v>
      </c>
    </row>
    <row r="1512" spans="1:10" s="88" customFormat="1" ht="25.5">
      <c r="A1512" s="59" t="s">
        <v>64</v>
      </c>
      <c r="B1512" s="29" t="s">
        <v>1232</v>
      </c>
      <c r="C1512" s="28">
        <v>200</v>
      </c>
      <c r="D1512" s="9">
        <f>D1513</f>
        <v>3221.3</v>
      </c>
      <c r="E1512" s="9">
        <f t="shared" ref="E1512:H1512" si="828">E1513</f>
        <v>3221.3</v>
      </c>
      <c r="F1512" s="9">
        <f t="shared" si="828"/>
        <v>1356.5</v>
      </c>
      <c r="G1512" s="9">
        <f t="shared" si="828"/>
        <v>1356.5</v>
      </c>
      <c r="H1512" s="9">
        <f t="shared" si="828"/>
        <v>923.76143999999999</v>
      </c>
      <c r="I1512" s="9">
        <f t="shared" si="825"/>
        <v>28.676665942321421</v>
      </c>
      <c r="J1512" s="9">
        <f t="shared" si="826"/>
        <v>68.098889789900468</v>
      </c>
    </row>
    <row r="1513" spans="1:10" s="88" customFormat="1" ht="25.5">
      <c r="A1513" s="59" t="s">
        <v>66</v>
      </c>
      <c r="B1513" s="29" t="s">
        <v>1232</v>
      </c>
      <c r="C1513" s="28">
        <v>240</v>
      </c>
      <c r="D1513" s="9">
        <f>ведомство!G453</f>
        <v>3221.3</v>
      </c>
      <c r="E1513" s="9">
        <f>ведомство!H453</f>
        <v>3221.3</v>
      </c>
      <c r="F1513" s="9">
        <f>ведомство!I453</f>
        <v>1356.5</v>
      </c>
      <c r="G1513" s="9">
        <f>ведомство!J453</f>
        <v>1356.5</v>
      </c>
      <c r="H1513" s="9">
        <f>ведомство!K453</f>
        <v>923.76143999999999</v>
      </c>
      <c r="I1513" s="9">
        <f t="shared" si="825"/>
        <v>28.676665942321421</v>
      </c>
      <c r="J1513" s="9">
        <f t="shared" si="826"/>
        <v>68.098889789900468</v>
      </c>
    </row>
    <row r="1514" spans="1:10" s="88" customFormat="1">
      <c r="A1514" s="59" t="s">
        <v>72</v>
      </c>
      <c r="B1514" s="29" t="s">
        <v>1232</v>
      </c>
      <c r="C1514" s="28">
        <v>800</v>
      </c>
      <c r="D1514" s="9">
        <f>D1515</f>
        <v>1051.4000000000001</v>
      </c>
      <c r="E1514" s="9">
        <f t="shared" ref="E1514:H1514" si="829">E1515</f>
        <v>1051.4000000000001</v>
      </c>
      <c r="F1514" s="9">
        <f t="shared" si="829"/>
        <v>228.6</v>
      </c>
      <c r="G1514" s="9">
        <f t="shared" si="829"/>
        <v>228.6</v>
      </c>
      <c r="H1514" s="9">
        <f t="shared" si="829"/>
        <v>61.158000000000001</v>
      </c>
      <c r="I1514" s="9">
        <f t="shared" si="825"/>
        <v>5.8168156743389767</v>
      </c>
      <c r="J1514" s="9">
        <f t="shared" si="826"/>
        <v>26.753280839895016</v>
      </c>
    </row>
    <row r="1515" spans="1:10" s="88" customFormat="1">
      <c r="A1515" s="59" t="s">
        <v>74</v>
      </c>
      <c r="B1515" s="29" t="s">
        <v>1232</v>
      </c>
      <c r="C1515" s="28">
        <v>850</v>
      </c>
      <c r="D1515" s="9">
        <f>ведомство!G455</f>
        <v>1051.4000000000001</v>
      </c>
      <c r="E1515" s="9">
        <f>ведомство!H455</f>
        <v>1051.4000000000001</v>
      </c>
      <c r="F1515" s="9">
        <f>ведомство!I455</f>
        <v>228.6</v>
      </c>
      <c r="G1515" s="9">
        <f>ведомство!J455</f>
        <v>228.6</v>
      </c>
      <c r="H1515" s="9">
        <f>ведомство!K455</f>
        <v>61.158000000000001</v>
      </c>
      <c r="I1515" s="9">
        <f t="shared" si="825"/>
        <v>5.8168156743389767</v>
      </c>
      <c r="J1515" s="9">
        <f t="shared" si="826"/>
        <v>26.753280839895016</v>
      </c>
    </row>
    <row r="1516" spans="1:10" ht="25.5">
      <c r="A1516" s="8" t="s">
        <v>248</v>
      </c>
      <c r="B1516" s="1" t="s">
        <v>263</v>
      </c>
      <c r="C1516" s="1" t="s">
        <v>0</v>
      </c>
      <c r="D1516" s="9">
        <f>D1517+D1519</f>
        <v>71427.8</v>
      </c>
      <c r="E1516" s="9">
        <f>E1517+E1519</f>
        <v>71427.788</v>
      </c>
      <c r="F1516" s="9">
        <f t="shared" ref="F1516:G1516" si="830">F1517+F1519</f>
        <v>71015.039999999994</v>
      </c>
      <c r="G1516" s="9">
        <f t="shared" si="830"/>
        <v>71015.039999999994</v>
      </c>
      <c r="H1516" s="9">
        <f>H1517+H1519</f>
        <v>70781.867039999997</v>
      </c>
      <c r="I1516" s="9">
        <f t="shared" si="816"/>
        <v>99.095700737645686</v>
      </c>
      <c r="J1516" s="9">
        <f t="shared" si="817"/>
        <v>99.671656933517184</v>
      </c>
    </row>
    <row r="1517" spans="1:10" ht="51">
      <c r="A1517" s="8" t="s">
        <v>60</v>
      </c>
      <c r="B1517" s="1" t="s">
        <v>263</v>
      </c>
      <c r="C1517" s="1" t="s">
        <v>61</v>
      </c>
      <c r="D1517" s="9">
        <f>D1518</f>
        <v>71047.600000000006</v>
      </c>
      <c r="E1517" s="9">
        <f>E1518</f>
        <v>71047.588000000003</v>
      </c>
      <c r="F1517" s="9">
        <f t="shared" ref="F1517:G1517" si="831">F1518</f>
        <v>70734.84</v>
      </c>
      <c r="G1517" s="9">
        <f t="shared" si="831"/>
        <v>70734.84</v>
      </c>
      <c r="H1517" s="9">
        <f>H1518</f>
        <v>70667.867039999997</v>
      </c>
      <c r="I1517" s="9">
        <f t="shared" si="816"/>
        <v>99.465539970195735</v>
      </c>
      <c r="J1517" s="9">
        <f t="shared" si="817"/>
        <v>99.905318284455007</v>
      </c>
    </row>
    <row r="1518" spans="1:10" ht="25.5">
      <c r="A1518" s="8" t="s">
        <v>62</v>
      </c>
      <c r="B1518" s="1" t="s">
        <v>263</v>
      </c>
      <c r="C1518" s="1" t="s">
        <v>63</v>
      </c>
      <c r="D1518" s="9">
        <f>ведомство!G458</f>
        <v>71047.600000000006</v>
      </c>
      <c r="E1518" s="9">
        <f>ведомство!H458</f>
        <v>71047.588000000003</v>
      </c>
      <c r="F1518" s="9">
        <f>ведомство!I458</f>
        <v>70734.84</v>
      </c>
      <c r="G1518" s="9">
        <f>ведомство!J458</f>
        <v>70734.84</v>
      </c>
      <c r="H1518" s="9">
        <f>ведомство!K458</f>
        <v>70667.867039999997</v>
      </c>
      <c r="I1518" s="9">
        <f t="shared" si="816"/>
        <v>99.465539970195735</v>
      </c>
      <c r="J1518" s="9">
        <f t="shared" si="817"/>
        <v>99.905318284455007</v>
      </c>
    </row>
    <row r="1519" spans="1:10" ht="25.5">
      <c r="A1519" s="8" t="s">
        <v>64</v>
      </c>
      <c r="B1519" s="1" t="s">
        <v>263</v>
      </c>
      <c r="C1519" s="1" t="s">
        <v>65</v>
      </c>
      <c r="D1519" s="9">
        <f>D1520</f>
        <v>380.2</v>
      </c>
      <c r="E1519" s="9">
        <f>E1520</f>
        <v>380.2</v>
      </c>
      <c r="F1519" s="9">
        <f t="shared" ref="F1519:G1519" si="832">F1520</f>
        <v>280.2</v>
      </c>
      <c r="G1519" s="9">
        <f t="shared" si="832"/>
        <v>280.2</v>
      </c>
      <c r="H1519" s="9">
        <f>H1520</f>
        <v>114</v>
      </c>
      <c r="I1519" s="9">
        <f t="shared" si="816"/>
        <v>29.984218832193584</v>
      </c>
      <c r="J1519" s="9">
        <f t="shared" si="817"/>
        <v>40.685224839400433</v>
      </c>
    </row>
    <row r="1520" spans="1:10" ht="25.5">
      <c r="A1520" s="8" t="s">
        <v>66</v>
      </c>
      <c r="B1520" s="1" t="s">
        <v>263</v>
      </c>
      <c r="C1520" s="1" t="s">
        <v>67</v>
      </c>
      <c r="D1520" s="9">
        <f>ведомство!G460</f>
        <v>380.2</v>
      </c>
      <c r="E1520" s="9">
        <f>ведомство!H460</f>
        <v>380.2</v>
      </c>
      <c r="F1520" s="9">
        <f>ведомство!I460</f>
        <v>280.2</v>
      </c>
      <c r="G1520" s="9">
        <f>ведомство!J460</f>
        <v>280.2</v>
      </c>
      <c r="H1520" s="9">
        <f>ведомство!K460</f>
        <v>114</v>
      </c>
      <c r="I1520" s="9">
        <f t="shared" si="816"/>
        <v>29.984218832193584</v>
      </c>
      <c r="J1520" s="9">
        <f t="shared" si="817"/>
        <v>40.685224839400433</v>
      </c>
    </row>
    <row r="1521" spans="1:10">
      <c r="A1521" s="4" t="s">
        <v>0</v>
      </c>
      <c r="B1521" s="17" t="s">
        <v>0</v>
      </c>
      <c r="C1521" s="5" t="s">
        <v>0</v>
      </c>
      <c r="D1521" s="7" t="s">
        <v>0</v>
      </c>
      <c r="E1521" s="7" t="s">
        <v>0</v>
      </c>
      <c r="F1521" s="7" t="s">
        <v>0</v>
      </c>
      <c r="G1521" s="7" t="s">
        <v>0</v>
      </c>
      <c r="H1521" s="7" t="s">
        <v>0</v>
      </c>
      <c r="I1521" s="7"/>
      <c r="J1521" s="7"/>
    </row>
    <row r="1522" spans="1:10" ht="38.25">
      <c r="A1522" s="4" t="s">
        <v>175</v>
      </c>
      <c r="B1522" s="5" t="s">
        <v>176</v>
      </c>
      <c r="C1522" s="5" t="s">
        <v>0</v>
      </c>
      <c r="D1522" s="7">
        <f>D1523+D1537</f>
        <v>3327908.5000000005</v>
      </c>
      <c r="E1522" s="7">
        <f>E1523+E1537</f>
        <v>3327908.5134999999</v>
      </c>
      <c r="F1522" s="7">
        <f t="shared" ref="F1522:G1522" si="833">F1523+F1537</f>
        <v>2624970.0152500002</v>
      </c>
      <c r="G1522" s="7">
        <f t="shared" si="833"/>
        <v>2621049.3983299998</v>
      </c>
      <c r="H1522" s="7">
        <f>H1523+H1537</f>
        <v>2605259.1044300003</v>
      </c>
      <c r="I1522" s="7">
        <f t="shared" si="816"/>
        <v>78.285178028828057</v>
      </c>
      <c r="J1522" s="7">
        <f t="shared" si="817"/>
        <v>99.24909958188141</v>
      </c>
    </row>
    <row r="1523" spans="1:10" ht="25.5">
      <c r="A1523" s="4" t="s">
        <v>177</v>
      </c>
      <c r="B1523" s="5" t="s">
        <v>178</v>
      </c>
      <c r="C1523" s="5" t="s">
        <v>0</v>
      </c>
      <c r="D1523" s="7">
        <f>D1524+D1527+D1530+D1533</f>
        <v>132801</v>
      </c>
      <c r="E1523" s="7">
        <f>E1524+E1527+E1530+E1533</f>
        <v>132801</v>
      </c>
      <c r="F1523" s="7">
        <f t="shared" ref="F1523:G1523" si="834">F1524+F1527+F1530+F1533</f>
        <v>39436.848660000003</v>
      </c>
      <c r="G1523" s="7">
        <f t="shared" si="834"/>
        <v>39173.35499</v>
      </c>
      <c r="H1523" s="7">
        <f>H1524+H1527+H1530+H1533</f>
        <v>38665.978040000002</v>
      </c>
      <c r="I1523" s="7">
        <f t="shared" si="816"/>
        <v>29.11572807433679</v>
      </c>
      <c r="J1523" s="7">
        <f t="shared" si="817"/>
        <v>98.045303704040933</v>
      </c>
    </row>
    <row r="1524" spans="1:10" ht="25.5">
      <c r="A1524" s="8" t="s">
        <v>107</v>
      </c>
      <c r="B1524" s="1" t="s">
        <v>211</v>
      </c>
      <c r="C1524" s="1" t="s">
        <v>0</v>
      </c>
      <c r="D1524" s="9">
        <f>D1525</f>
        <v>10000</v>
      </c>
      <c r="E1524" s="9">
        <f>E1525</f>
        <v>10000</v>
      </c>
      <c r="F1524" s="9">
        <f t="shared" ref="F1524:G1525" si="835">F1525</f>
        <v>0</v>
      </c>
      <c r="G1524" s="9">
        <f t="shared" si="835"/>
        <v>0</v>
      </c>
      <c r="H1524" s="9">
        <f>H1525</f>
        <v>0</v>
      </c>
      <c r="I1524" s="9">
        <f t="shared" si="816"/>
        <v>0</v>
      </c>
      <c r="J1524" s="9">
        <v>0</v>
      </c>
    </row>
    <row r="1525" spans="1:10">
      <c r="A1525" s="8" t="s">
        <v>26</v>
      </c>
      <c r="B1525" s="1" t="s">
        <v>211</v>
      </c>
      <c r="C1525" s="1" t="s">
        <v>27</v>
      </c>
      <c r="D1525" s="9">
        <f>D1526</f>
        <v>10000</v>
      </c>
      <c r="E1525" s="9">
        <f>E1526</f>
        <v>10000</v>
      </c>
      <c r="F1525" s="9">
        <f t="shared" si="835"/>
        <v>0</v>
      </c>
      <c r="G1525" s="9">
        <f t="shared" si="835"/>
        <v>0</v>
      </c>
      <c r="H1525" s="9">
        <f>H1526</f>
        <v>0</v>
      </c>
      <c r="I1525" s="9">
        <f t="shared" si="816"/>
        <v>0</v>
      </c>
      <c r="J1525" s="9">
        <v>0</v>
      </c>
    </row>
    <row r="1526" spans="1:10">
      <c r="A1526" s="8" t="s">
        <v>56</v>
      </c>
      <c r="B1526" s="1" t="s">
        <v>211</v>
      </c>
      <c r="C1526" s="1" t="s">
        <v>57</v>
      </c>
      <c r="D1526" s="9">
        <f>ведомство!G325</f>
        <v>10000</v>
      </c>
      <c r="E1526" s="9">
        <f>ведомство!H325</f>
        <v>10000</v>
      </c>
      <c r="F1526" s="9">
        <f>ведомство!I325</f>
        <v>0</v>
      </c>
      <c r="G1526" s="9">
        <f>ведомство!J325</f>
        <v>0</v>
      </c>
      <c r="H1526" s="9">
        <f>ведомство!K325</f>
        <v>0</v>
      </c>
      <c r="I1526" s="9">
        <f t="shared" si="816"/>
        <v>0</v>
      </c>
      <c r="J1526" s="9">
        <v>0</v>
      </c>
    </row>
    <row r="1527" spans="1:10" ht="25.5">
      <c r="A1527" s="8" t="s">
        <v>179</v>
      </c>
      <c r="B1527" s="1" t="s">
        <v>180</v>
      </c>
      <c r="C1527" s="1" t="s">
        <v>0</v>
      </c>
      <c r="D1527" s="9">
        <f>D1528</f>
        <v>900</v>
      </c>
      <c r="E1527" s="9">
        <f>E1528</f>
        <v>900</v>
      </c>
      <c r="F1527" s="9">
        <f t="shared" ref="F1527:G1528" si="836">F1528</f>
        <v>900</v>
      </c>
      <c r="G1527" s="9">
        <f t="shared" si="836"/>
        <v>636.50633000000005</v>
      </c>
      <c r="H1527" s="9">
        <f>H1528</f>
        <v>636.50633000000005</v>
      </c>
      <c r="I1527" s="9">
        <f t="shared" si="816"/>
        <v>70.722925555555562</v>
      </c>
      <c r="J1527" s="9">
        <f t="shared" si="817"/>
        <v>70.722925555555562</v>
      </c>
    </row>
    <row r="1528" spans="1:10" ht="25.5">
      <c r="A1528" s="8" t="s">
        <v>64</v>
      </c>
      <c r="B1528" s="1" t="s">
        <v>180</v>
      </c>
      <c r="C1528" s="1" t="s">
        <v>65</v>
      </c>
      <c r="D1528" s="9">
        <f>D1529</f>
        <v>900</v>
      </c>
      <c r="E1528" s="9">
        <f>E1529</f>
        <v>900</v>
      </c>
      <c r="F1528" s="9">
        <f t="shared" si="836"/>
        <v>900</v>
      </c>
      <c r="G1528" s="9">
        <f t="shared" si="836"/>
        <v>636.50633000000005</v>
      </c>
      <c r="H1528" s="9">
        <f>H1529</f>
        <v>636.50633000000005</v>
      </c>
      <c r="I1528" s="9">
        <f t="shared" si="816"/>
        <v>70.722925555555562</v>
      </c>
      <c r="J1528" s="9">
        <f t="shared" si="817"/>
        <v>70.722925555555562</v>
      </c>
    </row>
    <row r="1529" spans="1:10" ht="25.5">
      <c r="A1529" s="8" t="s">
        <v>66</v>
      </c>
      <c r="B1529" s="1" t="s">
        <v>180</v>
      </c>
      <c r="C1529" s="1" t="s">
        <v>67</v>
      </c>
      <c r="D1529" s="9">
        <f>ведомство!G239</f>
        <v>900</v>
      </c>
      <c r="E1529" s="9">
        <f>ведомство!H239</f>
        <v>900</v>
      </c>
      <c r="F1529" s="9">
        <f>ведомство!I239</f>
        <v>900</v>
      </c>
      <c r="G1529" s="9">
        <f>ведомство!J239</f>
        <v>636.50633000000005</v>
      </c>
      <c r="H1529" s="9">
        <f>ведомство!K239</f>
        <v>636.50633000000005</v>
      </c>
      <c r="I1529" s="9">
        <f t="shared" si="816"/>
        <v>70.722925555555562</v>
      </c>
      <c r="J1529" s="9">
        <f t="shared" si="817"/>
        <v>70.722925555555562</v>
      </c>
    </row>
    <row r="1530" spans="1:10" ht="25.5">
      <c r="A1530" s="8" t="s">
        <v>212</v>
      </c>
      <c r="B1530" s="1" t="s">
        <v>213</v>
      </c>
      <c r="C1530" s="1" t="s">
        <v>0</v>
      </c>
      <c r="D1530" s="9">
        <f>D1531</f>
        <v>115255</v>
      </c>
      <c r="E1530" s="9">
        <f>E1531</f>
        <v>115255</v>
      </c>
      <c r="F1530" s="9">
        <f t="shared" ref="F1530:G1531" si="837">F1531</f>
        <v>31890.84866</v>
      </c>
      <c r="G1530" s="9">
        <f t="shared" si="837"/>
        <v>31890.84866</v>
      </c>
      <c r="H1530" s="9">
        <f>H1531</f>
        <v>31383.471710000002</v>
      </c>
      <c r="I1530" s="9">
        <f t="shared" si="816"/>
        <v>27.229596728992234</v>
      </c>
      <c r="J1530" s="9">
        <f t="shared" si="817"/>
        <v>98.409020232075576</v>
      </c>
    </row>
    <row r="1531" spans="1:10">
      <c r="A1531" s="8" t="s">
        <v>26</v>
      </c>
      <c r="B1531" s="1" t="s">
        <v>213</v>
      </c>
      <c r="C1531" s="1" t="s">
        <v>27</v>
      </c>
      <c r="D1531" s="9">
        <f>D1532</f>
        <v>115255</v>
      </c>
      <c r="E1531" s="9">
        <f>E1532</f>
        <v>115255</v>
      </c>
      <c r="F1531" s="9">
        <f t="shared" si="837"/>
        <v>31890.84866</v>
      </c>
      <c r="G1531" s="9">
        <f t="shared" si="837"/>
        <v>31890.84866</v>
      </c>
      <c r="H1531" s="9">
        <f>H1532</f>
        <v>31383.471710000002</v>
      </c>
      <c r="I1531" s="9">
        <f t="shared" si="816"/>
        <v>27.229596728992234</v>
      </c>
      <c r="J1531" s="9">
        <f t="shared" si="817"/>
        <v>98.409020232075576</v>
      </c>
    </row>
    <row r="1532" spans="1:10">
      <c r="A1532" s="8" t="s">
        <v>56</v>
      </c>
      <c r="B1532" s="1" t="s">
        <v>213</v>
      </c>
      <c r="C1532" s="1" t="s">
        <v>57</v>
      </c>
      <c r="D1532" s="9">
        <f>ведомство!G328</f>
        <v>115255</v>
      </c>
      <c r="E1532" s="9">
        <f>ведомство!H328</f>
        <v>115255</v>
      </c>
      <c r="F1532" s="9">
        <f>ведомство!I328</f>
        <v>31890.84866</v>
      </c>
      <c r="G1532" s="9">
        <f>ведомство!J328</f>
        <v>31890.84866</v>
      </c>
      <c r="H1532" s="9">
        <f>ведомство!K328</f>
        <v>31383.471710000002</v>
      </c>
      <c r="I1532" s="9">
        <f t="shared" si="816"/>
        <v>27.229596728992234</v>
      </c>
      <c r="J1532" s="9">
        <f t="shared" si="817"/>
        <v>98.409020232075576</v>
      </c>
    </row>
    <row r="1533" spans="1:10" ht="51">
      <c r="A1533" s="8" t="s">
        <v>214</v>
      </c>
      <c r="B1533" s="1" t="s">
        <v>215</v>
      </c>
      <c r="C1533" s="1" t="s">
        <v>0</v>
      </c>
      <c r="D1533" s="9">
        <f>D1534</f>
        <v>6646</v>
      </c>
      <c r="E1533" s="9">
        <f>E1534</f>
        <v>6646</v>
      </c>
      <c r="F1533" s="9">
        <f t="shared" ref="F1533:G1534" si="838">F1534</f>
        <v>6646</v>
      </c>
      <c r="G1533" s="9">
        <f t="shared" si="838"/>
        <v>6646</v>
      </c>
      <c r="H1533" s="9">
        <f>H1534</f>
        <v>6646</v>
      </c>
      <c r="I1533" s="9">
        <f t="shared" si="816"/>
        <v>100</v>
      </c>
      <c r="J1533" s="9">
        <f t="shared" si="817"/>
        <v>100</v>
      </c>
    </row>
    <row r="1534" spans="1:10">
      <c r="A1534" s="8" t="s">
        <v>26</v>
      </c>
      <c r="B1534" s="1" t="s">
        <v>215</v>
      </c>
      <c r="C1534" s="1" t="s">
        <v>27</v>
      </c>
      <c r="D1534" s="9">
        <f>D1535</f>
        <v>6646</v>
      </c>
      <c r="E1534" s="9">
        <f>E1535</f>
        <v>6646</v>
      </c>
      <c r="F1534" s="9">
        <f t="shared" si="838"/>
        <v>6646</v>
      </c>
      <c r="G1534" s="9">
        <f t="shared" si="838"/>
        <v>6646</v>
      </c>
      <c r="H1534" s="9">
        <f>H1535</f>
        <v>6646</v>
      </c>
      <c r="I1534" s="9">
        <f t="shared" si="816"/>
        <v>100</v>
      </c>
      <c r="J1534" s="9">
        <f t="shared" si="817"/>
        <v>100</v>
      </c>
    </row>
    <row r="1535" spans="1:10">
      <c r="A1535" s="8" t="s">
        <v>56</v>
      </c>
      <c r="B1535" s="1" t="s">
        <v>215</v>
      </c>
      <c r="C1535" s="1" t="s">
        <v>57</v>
      </c>
      <c r="D1535" s="9">
        <f>ведомство!G331</f>
        <v>6646</v>
      </c>
      <c r="E1535" s="9">
        <f>ведомство!H331</f>
        <v>6646</v>
      </c>
      <c r="F1535" s="9">
        <f>ведомство!I331</f>
        <v>6646</v>
      </c>
      <c r="G1535" s="9">
        <f>ведомство!J331</f>
        <v>6646</v>
      </c>
      <c r="H1535" s="9">
        <f>ведомство!K331</f>
        <v>6646</v>
      </c>
      <c r="I1535" s="9">
        <f t="shared" si="816"/>
        <v>100</v>
      </c>
      <c r="J1535" s="9">
        <f t="shared" si="817"/>
        <v>100</v>
      </c>
    </row>
    <row r="1536" spans="1:10">
      <c r="A1536" s="4" t="s">
        <v>0</v>
      </c>
      <c r="B1536" s="17" t="s">
        <v>0</v>
      </c>
      <c r="C1536" s="5" t="s">
        <v>0</v>
      </c>
      <c r="D1536" s="7" t="s">
        <v>0</v>
      </c>
      <c r="E1536" s="7" t="s">
        <v>0</v>
      </c>
      <c r="F1536" s="7" t="s">
        <v>0</v>
      </c>
      <c r="G1536" s="7" t="s">
        <v>0</v>
      </c>
      <c r="H1536" s="7" t="s">
        <v>0</v>
      </c>
      <c r="I1536" s="7"/>
      <c r="J1536" s="7"/>
    </row>
    <row r="1537" spans="1:10" ht="38.25">
      <c r="A1537" s="4" t="s">
        <v>181</v>
      </c>
      <c r="B1537" s="5" t="s">
        <v>182</v>
      </c>
      <c r="C1537" s="5" t="s">
        <v>0</v>
      </c>
      <c r="D1537" s="7">
        <f>D1541+D1554+D1563+D1566+D1569+D1572+D1575+D1578+D1581+D1551+D1584</f>
        <v>3195107.5000000005</v>
      </c>
      <c r="E1537" s="7">
        <f t="shared" ref="E1537" si="839">E1541+E1554+E1563+E1566+E1569+E1572+E1575+E1578+E1581+E1551+E1584</f>
        <v>3195107.5134999999</v>
      </c>
      <c r="F1537" s="7">
        <f t="shared" ref="F1537:H1537" si="840">F1541+F1554+F1563+F1566+F1569+F1572+F1575+F1578+F1581+F1551+F1584</f>
        <v>2585533.16659</v>
      </c>
      <c r="G1537" s="7">
        <f t="shared" si="840"/>
        <v>2581876.0433399999</v>
      </c>
      <c r="H1537" s="7">
        <f t="shared" si="840"/>
        <v>2566593.1263900003</v>
      </c>
      <c r="I1537" s="7">
        <f t="shared" si="816"/>
        <v>80.32885014183735</v>
      </c>
      <c r="J1537" s="7">
        <f t="shared" si="817"/>
        <v>99.267460945976595</v>
      </c>
    </row>
    <row r="1538" spans="1:10" hidden="1">
      <c r="A1538" s="8" t="s">
        <v>609</v>
      </c>
      <c r="B1538" s="24" t="s">
        <v>1112</v>
      </c>
      <c r="C1538" s="6"/>
      <c r="D1538" s="22">
        <f>D1539</f>
        <v>0</v>
      </c>
      <c r="E1538" s="22">
        <f>E1539</f>
        <v>0</v>
      </c>
      <c r="F1538" s="22">
        <f t="shared" ref="F1538:G1539" si="841">F1539</f>
        <v>0</v>
      </c>
      <c r="G1538" s="22">
        <f t="shared" si="841"/>
        <v>0</v>
      </c>
      <c r="H1538" s="22">
        <f>H1539</f>
        <v>0</v>
      </c>
      <c r="I1538" s="7" t="e">
        <f t="shared" si="816"/>
        <v>#DIV/0!</v>
      </c>
      <c r="J1538" s="7" t="e">
        <f t="shared" si="817"/>
        <v>#DIV/0!</v>
      </c>
    </row>
    <row r="1539" spans="1:10" hidden="1">
      <c r="A1539" s="8" t="s">
        <v>72</v>
      </c>
      <c r="B1539" s="24" t="s">
        <v>1112</v>
      </c>
      <c r="C1539" s="6">
        <v>800</v>
      </c>
      <c r="D1539" s="22">
        <f>D1540</f>
        <v>0</v>
      </c>
      <c r="E1539" s="22">
        <f>E1540</f>
        <v>0</v>
      </c>
      <c r="F1539" s="22">
        <f t="shared" si="841"/>
        <v>0</v>
      </c>
      <c r="G1539" s="22">
        <f t="shared" si="841"/>
        <v>0</v>
      </c>
      <c r="H1539" s="22">
        <f>H1540</f>
        <v>0</v>
      </c>
      <c r="I1539" s="7" t="e">
        <f t="shared" si="816"/>
        <v>#DIV/0!</v>
      </c>
      <c r="J1539" s="7" t="e">
        <f t="shared" si="817"/>
        <v>#DIV/0!</v>
      </c>
    </row>
    <row r="1540" spans="1:10" hidden="1">
      <c r="A1540" s="8" t="s">
        <v>84</v>
      </c>
      <c r="B1540" s="24" t="s">
        <v>1112</v>
      </c>
      <c r="C1540" s="6">
        <v>830</v>
      </c>
      <c r="D1540" s="22"/>
      <c r="E1540" s="22"/>
      <c r="F1540" s="22"/>
      <c r="G1540" s="22"/>
      <c r="H1540" s="22"/>
      <c r="I1540" s="7" t="e">
        <f t="shared" si="816"/>
        <v>#DIV/0!</v>
      </c>
      <c r="J1540" s="7" t="e">
        <f t="shared" si="817"/>
        <v>#DIV/0!</v>
      </c>
    </row>
    <row r="1541" spans="1:10" ht="25.5">
      <c r="A1541" s="8" t="s">
        <v>58</v>
      </c>
      <c r="B1541" s="1" t="s">
        <v>183</v>
      </c>
      <c r="C1541" s="1" t="s">
        <v>0</v>
      </c>
      <c r="D1541" s="9">
        <f>D1542+D1544+D1546+D1548</f>
        <v>110743.3</v>
      </c>
      <c r="E1541" s="9">
        <f>E1542+E1544+E1546+E1548</f>
        <v>110743.29999999999</v>
      </c>
      <c r="F1541" s="9">
        <f t="shared" ref="F1541:G1541" si="842">F1542+F1544+F1546+F1548</f>
        <v>89509.8</v>
      </c>
      <c r="G1541" s="9">
        <f t="shared" si="842"/>
        <v>85852.676749999999</v>
      </c>
      <c r="H1541" s="9">
        <f>H1542+H1544+H1546+H1548</f>
        <v>76087.899019999997</v>
      </c>
      <c r="I1541" s="9">
        <f t="shared" si="816"/>
        <v>68.706548405185686</v>
      </c>
      <c r="J1541" s="9">
        <f t="shared" si="817"/>
        <v>85.005104491351773</v>
      </c>
    </row>
    <row r="1542" spans="1:10" ht="51">
      <c r="A1542" s="8" t="s">
        <v>60</v>
      </c>
      <c r="B1542" s="1" t="s">
        <v>183</v>
      </c>
      <c r="C1542" s="1" t="s">
        <v>61</v>
      </c>
      <c r="D1542" s="9">
        <f>D1543</f>
        <v>101813.3</v>
      </c>
      <c r="E1542" s="9">
        <f>E1543</f>
        <v>101813.29999999999</v>
      </c>
      <c r="F1542" s="9">
        <f t="shared" ref="F1542:G1542" si="843">F1543</f>
        <v>81758</v>
      </c>
      <c r="G1542" s="9">
        <f t="shared" si="843"/>
        <v>79410.2</v>
      </c>
      <c r="H1542" s="9">
        <f>H1543</f>
        <v>70639.834749999995</v>
      </c>
      <c r="I1542" s="9">
        <f t="shared" si="816"/>
        <v>69.381735735900904</v>
      </c>
      <c r="J1542" s="9">
        <f t="shared" si="817"/>
        <v>86.401128635729833</v>
      </c>
    </row>
    <row r="1543" spans="1:10" ht="25.5">
      <c r="A1543" s="8" t="s">
        <v>62</v>
      </c>
      <c r="B1543" s="1" t="s">
        <v>183</v>
      </c>
      <c r="C1543" s="1" t="s">
        <v>63</v>
      </c>
      <c r="D1543" s="9">
        <f>ведомство!G243+ведомство!G2821</f>
        <v>101813.3</v>
      </c>
      <c r="E1543" s="9">
        <f>ведомство!H243+ведомство!H2821</f>
        <v>101813.29999999999</v>
      </c>
      <c r="F1543" s="9">
        <f>ведомство!I243+ведомство!I2821</f>
        <v>81758</v>
      </c>
      <c r="G1543" s="9">
        <f>ведомство!J243+ведомство!J2821</f>
        <v>79410.2</v>
      </c>
      <c r="H1543" s="9">
        <f>ведомство!K243+ведомство!K2821</f>
        <v>70639.834749999995</v>
      </c>
      <c r="I1543" s="9">
        <f t="shared" si="816"/>
        <v>69.381735735900904</v>
      </c>
      <c r="J1543" s="9">
        <f t="shared" si="817"/>
        <v>86.401128635729833</v>
      </c>
    </row>
    <row r="1544" spans="1:10" ht="25.5">
      <c r="A1544" s="8" t="s">
        <v>64</v>
      </c>
      <c r="B1544" s="1" t="s">
        <v>183</v>
      </c>
      <c r="C1544" s="1" t="s">
        <v>65</v>
      </c>
      <c r="D1544" s="9">
        <f>D1545</f>
        <v>8803.2000000000007</v>
      </c>
      <c r="E1544" s="9">
        <f>E1545</f>
        <v>8749.2331000000013</v>
      </c>
      <c r="F1544" s="9">
        <f t="shared" ref="F1544:G1544" si="844">F1545</f>
        <v>7571.0330999999996</v>
      </c>
      <c r="G1544" s="9">
        <f t="shared" si="844"/>
        <v>6265</v>
      </c>
      <c r="H1544" s="9">
        <f>H1545</f>
        <v>5270.58752</v>
      </c>
      <c r="I1544" s="9">
        <f t="shared" si="816"/>
        <v>60.240565770273044</v>
      </c>
      <c r="J1544" s="9">
        <f t="shared" si="817"/>
        <v>69.6151694278024</v>
      </c>
    </row>
    <row r="1545" spans="1:10" ht="25.5">
      <c r="A1545" s="8" t="s">
        <v>66</v>
      </c>
      <c r="B1545" s="1" t="s">
        <v>183</v>
      </c>
      <c r="C1545" s="1" t="s">
        <v>67</v>
      </c>
      <c r="D1545" s="9">
        <f>ведомство!G245+ведомство!G2823</f>
        <v>8803.2000000000007</v>
      </c>
      <c r="E1545" s="9">
        <f>ведомство!H245+ведомство!H2823</f>
        <v>8749.2331000000013</v>
      </c>
      <c r="F1545" s="9">
        <f>ведомство!I245+ведомство!I2823</f>
        <v>7571.0330999999996</v>
      </c>
      <c r="G1545" s="9">
        <f>ведомство!J245+ведомство!J2823</f>
        <v>6265</v>
      </c>
      <c r="H1545" s="9">
        <f>ведомство!K245+ведомство!K2823</f>
        <v>5270.58752</v>
      </c>
      <c r="I1545" s="9">
        <f t="shared" si="816"/>
        <v>60.240565770273044</v>
      </c>
      <c r="J1545" s="9">
        <f t="shared" si="817"/>
        <v>69.6151694278024</v>
      </c>
    </row>
    <row r="1546" spans="1:10">
      <c r="A1546" s="8" t="s">
        <v>68</v>
      </c>
      <c r="B1546" s="1" t="s">
        <v>183</v>
      </c>
      <c r="C1546" s="1" t="s">
        <v>69</v>
      </c>
      <c r="D1546" s="9">
        <f>D1547</f>
        <v>45</v>
      </c>
      <c r="E1546" s="9">
        <f>E1547</f>
        <v>45</v>
      </c>
      <c r="F1546" s="9">
        <f t="shared" ref="F1546:G1546" si="845">F1547</f>
        <v>45</v>
      </c>
      <c r="G1546" s="9">
        <f t="shared" si="845"/>
        <v>45</v>
      </c>
      <c r="H1546" s="9">
        <f>H1547</f>
        <v>45</v>
      </c>
      <c r="I1546" s="9">
        <f t="shared" si="816"/>
        <v>100</v>
      </c>
      <c r="J1546" s="9">
        <f t="shared" si="817"/>
        <v>100</v>
      </c>
    </row>
    <row r="1547" spans="1:10">
      <c r="A1547" s="8" t="s">
        <v>70</v>
      </c>
      <c r="B1547" s="1" t="s">
        <v>183</v>
      </c>
      <c r="C1547" s="1" t="s">
        <v>71</v>
      </c>
      <c r="D1547" s="9">
        <f>ведомство!G247</f>
        <v>45</v>
      </c>
      <c r="E1547" s="9">
        <f>ведомство!H247</f>
        <v>45</v>
      </c>
      <c r="F1547" s="9">
        <f>ведомство!I247</f>
        <v>45</v>
      </c>
      <c r="G1547" s="9">
        <f>ведомство!J247</f>
        <v>45</v>
      </c>
      <c r="H1547" s="9">
        <f>ведомство!K247</f>
        <v>45</v>
      </c>
      <c r="I1547" s="9">
        <f t="shared" si="816"/>
        <v>100</v>
      </c>
      <c r="J1547" s="9">
        <f t="shared" si="817"/>
        <v>100</v>
      </c>
    </row>
    <row r="1548" spans="1:10">
      <c r="A1548" s="8" t="s">
        <v>72</v>
      </c>
      <c r="B1548" s="1" t="s">
        <v>183</v>
      </c>
      <c r="C1548" s="1" t="s">
        <v>73</v>
      </c>
      <c r="D1548" s="9">
        <f>D1549+D1550</f>
        <v>81.8</v>
      </c>
      <c r="E1548" s="9">
        <f>E1549+E1550</f>
        <v>135.76690000000002</v>
      </c>
      <c r="F1548" s="9">
        <f t="shared" ref="F1548:G1548" si="846">F1549+F1550</f>
        <v>135.76690000000002</v>
      </c>
      <c r="G1548" s="9">
        <f t="shared" si="846"/>
        <v>132.47675000000001</v>
      </c>
      <c r="H1548" s="9">
        <f>H1549+H1550</f>
        <v>132.47675000000001</v>
      </c>
      <c r="I1548" s="9">
        <f t="shared" si="816"/>
        <v>97.576618454129829</v>
      </c>
      <c r="J1548" s="9">
        <f t="shared" si="817"/>
        <v>97.576618454129829</v>
      </c>
    </row>
    <row r="1549" spans="1:10">
      <c r="A1549" s="8" t="s">
        <v>84</v>
      </c>
      <c r="B1549" s="1" t="s">
        <v>183</v>
      </c>
      <c r="C1549" s="1" t="s">
        <v>85</v>
      </c>
      <c r="D1549" s="9">
        <f>ведомство!G2825</f>
        <v>75</v>
      </c>
      <c r="E1549" s="9">
        <f>ведомство!H2825</f>
        <v>128.96690000000001</v>
      </c>
      <c r="F1549" s="9">
        <f>ведомство!I2825</f>
        <v>128.96690000000001</v>
      </c>
      <c r="G1549" s="9">
        <f>ведомство!J2825</f>
        <v>128.96690000000001</v>
      </c>
      <c r="H1549" s="9">
        <f>ведомство!K2825</f>
        <v>128.96690000000001</v>
      </c>
      <c r="I1549" s="9">
        <f t="shared" si="816"/>
        <v>100</v>
      </c>
      <c r="J1549" s="9">
        <f t="shared" si="817"/>
        <v>100</v>
      </c>
    </row>
    <row r="1550" spans="1:10">
      <c r="A1550" s="8" t="s">
        <v>74</v>
      </c>
      <c r="B1550" s="1" t="s">
        <v>183</v>
      </c>
      <c r="C1550" s="1" t="s">
        <v>75</v>
      </c>
      <c r="D1550" s="9">
        <f>ведомство!G249</f>
        <v>6.8</v>
      </c>
      <c r="E1550" s="9">
        <f>ведомство!H249</f>
        <v>6.8000000000000007</v>
      </c>
      <c r="F1550" s="9">
        <f>ведомство!I249</f>
        <v>6.8000000000000007</v>
      </c>
      <c r="G1550" s="9">
        <f>ведомство!J249</f>
        <v>3.5098500000000001</v>
      </c>
      <c r="H1550" s="9">
        <f>ведомство!K249</f>
        <v>3.5098500000000001</v>
      </c>
      <c r="I1550" s="9">
        <f t="shared" si="816"/>
        <v>51.61544117647059</v>
      </c>
      <c r="J1550" s="9">
        <f t="shared" si="817"/>
        <v>51.61544117647059</v>
      </c>
    </row>
    <row r="1551" spans="1:10" s="42" customFormat="1">
      <c r="A1551" s="8" t="s">
        <v>609</v>
      </c>
      <c r="B1551" s="24" t="s">
        <v>1112</v>
      </c>
      <c r="C1551" s="6"/>
      <c r="D1551" s="9">
        <f>D1552</f>
        <v>0</v>
      </c>
      <c r="E1551" s="9">
        <f>E1552</f>
        <v>77.63</v>
      </c>
      <c r="F1551" s="9">
        <f t="shared" ref="F1551:G1552" si="847">F1552</f>
        <v>77.63</v>
      </c>
      <c r="G1551" s="9">
        <f t="shared" si="847"/>
        <v>77.63</v>
      </c>
      <c r="H1551" s="9">
        <f>H1552</f>
        <v>77.63</v>
      </c>
      <c r="I1551" s="9">
        <f t="shared" ref="I1551:I1553" si="848">H1551/E1551*100</f>
        <v>100</v>
      </c>
      <c r="J1551" s="9">
        <f t="shared" ref="J1551:J1553" si="849">H1551/F1551*100</f>
        <v>100</v>
      </c>
    </row>
    <row r="1552" spans="1:10" s="42" customFormat="1">
      <c r="A1552" s="8" t="s">
        <v>72</v>
      </c>
      <c r="B1552" s="24" t="s">
        <v>1112</v>
      </c>
      <c r="C1552" s="6">
        <v>800</v>
      </c>
      <c r="D1552" s="9">
        <f>D1553</f>
        <v>0</v>
      </c>
      <c r="E1552" s="9">
        <f>E1553</f>
        <v>77.63</v>
      </c>
      <c r="F1552" s="9">
        <f t="shared" si="847"/>
        <v>77.63</v>
      </c>
      <c r="G1552" s="9">
        <f t="shared" si="847"/>
        <v>77.63</v>
      </c>
      <c r="H1552" s="9">
        <f>H1553</f>
        <v>77.63</v>
      </c>
      <c r="I1552" s="9">
        <f t="shared" si="848"/>
        <v>100</v>
      </c>
      <c r="J1552" s="9">
        <f t="shared" si="849"/>
        <v>100</v>
      </c>
    </row>
    <row r="1553" spans="1:10" s="42" customFormat="1">
      <c r="A1553" s="8" t="s">
        <v>84</v>
      </c>
      <c r="B1553" s="24" t="s">
        <v>1112</v>
      </c>
      <c r="C1553" s="6">
        <v>830</v>
      </c>
      <c r="D1553" s="9">
        <f>ведомство!G335</f>
        <v>0</v>
      </c>
      <c r="E1553" s="9">
        <f>ведомство!H335</f>
        <v>77.63</v>
      </c>
      <c r="F1553" s="9">
        <f>ведомство!I335</f>
        <v>77.63</v>
      </c>
      <c r="G1553" s="9">
        <f>ведомство!J335</f>
        <v>77.63</v>
      </c>
      <c r="H1553" s="9">
        <f>ведомство!K335</f>
        <v>77.63</v>
      </c>
      <c r="I1553" s="9">
        <f t="shared" si="848"/>
        <v>100</v>
      </c>
      <c r="J1553" s="9">
        <f t="shared" si="849"/>
        <v>100</v>
      </c>
    </row>
    <row r="1554" spans="1:10" ht="25.5">
      <c r="A1554" s="8" t="s">
        <v>76</v>
      </c>
      <c r="B1554" s="1" t="s">
        <v>192</v>
      </c>
      <c r="C1554" s="1" t="s">
        <v>0</v>
      </c>
      <c r="D1554" s="9">
        <f>D1555+D1557+D1559+D1561</f>
        <v>34731.199999999997</v>
      </c>
      <c r="E1554" s="9">
        <f>E1555+E1557+E1559+E1561</f>
        <v>34731.199999999997</v>
      </c>
      <c r="F1554" s="9">
        <f t="shared" ref="F1554:G1554" si="850">F1555+F1557+F1559+F1561</f>
        <v>27793.200000000001</v>
      </c>
      <c r="G1554" s="9">
        <f t="shared" si="850"/>
        <v>27793.200000000001</v>
      </c>
      <c r="H1554" s="9">
        <f>H1555+H1557+H1559+H1561</f>
        <v>22275.06078</v>
      </c>
      <c r="I1554" s="9">
        <f t="shared" si="816"/>
        <v>64.135592147694297</v>
      </c>
      <c r="J1554" s="9">
        <f t="shared" si="817"/>
        <v>80.145721903199345</v>
      </c>
    </row>
    <row r="1555" spans="1:10" ht="51">
      <c r="A1555" s="8" t="s">
        <v>60</v>
      </c>
      <c r="B1555" s="1" t="s">
        <v>192</v>
      </c>
      <c r="C1555" s="1" t="s">
        <v>61</v>
      </c>
      <c r="D1555" s="9">
        <f>D1556</f>
        <v>32198.2</v>
      </c>
      <c r="E1555" s="9">
        <f>E1556</f>
        <v>32198.199999999997</v>
      </c>
      <c r="F1555" s="9">
        <f t="shared" ref="F1555:G1555" si="851">F1556</f>
        <v>26000</v>
      </c>
      <c r="G1555" s="9">
        <f t="shared" si="851"/>
        <v>26000</v>
      </c>
      <c r="H1555" s="9">
        <f>H1556</f>
        <v>20774.540199999999</v>
      </c>
      <c r="I1555" s="9">
        <f t="shared" si="816"/>
        <v>64.520812343547163</v>
      </c>
      <c r="J1555" s="9">
        <f t="shared" si="817"/>
        <v>79.902077692307699</v>
      </c>
    </row>
    <row r="1556" spans="1:10">
      <c r="A1556" s="8" t="s">
        <v>78</v>
      </c>
      <c r="B1556" s="1" t="s">
        <v>192</v>
      </c>
      <c r="C1556" s="1" t="s">
        <v>79</v>
      </c>
      <c r="D1556" s="9">
        <f>ведомство!G268</f>
        <v>32198.2</v>
      </c>
      <c r="E1556" s="9">
        <f>ведомство!H268</f>
        <v>32198.199999999997</v>
      </c>
      <c r="F1556" s="9">
        <f>ведомство!I268</f>
        <v>26000</v>
      </c>
      <c r="G1556" s="9">
        <f>ведомство!J268</f>
        <v>26000</v>
      </c>
      <c r="H1556" s="9">
        <f>ведомство!K268</f>
        <v>20774.540199999999</v>
      </c>
      <c r="I1556" s="9">
        <f t="shared" si="816"/>
        <v>64.520812343547163</v>
      </c>
      <c r="J1556" s="9">
        <f t="shared" si="817"/>
        <v>79.902077692307699</v>
      </c>
    </row>
    <row r="1557" spans="1:10" ht="25.5">
      <c r="A1557" s="8" t="s">
        <v>64</v>
      </c>
      <c r="B1557" s="1" t="s">
        <v>192</v>
      </c>
      <c r="C1557" s="1" t="s">
        <v>65</v>
      </c>
      <c r="D1557" s="9">
        <f>D1558</f>
        <v>1946.8</v>
      </c>
      <c r="E1557" s="9">
        <f>E1558</f>
        <v>1946.8</v>
      </c>
      <c r="F1557" s="9">
        <f t="shared" ref="F1557:G1557" si="852">F1558</f>
        <v>1470</v>
      </c>
      <c r="G1557" s="9">
        <f t="shared" si="852"/>
        <v>1470</v>
      </c>
      <c r="H1557" s="9">
        <f>H1558</f>
        <v>1186.3625</v>
      </c>
      <c r="I1557" s="9">
        <f t="shared" si="816"/>
        <v>60.939105198274092</v>
      </c>
      <c r="J1557" s="9">
        <f t="shared" si="817"/>
        <v>80.704931972789112</v>
      </c>
    </row>
    <row r="1558" spans="1:10" ht="25.5">
      <c r="A1558" s="8" t="s">
        <v>66</v>
      </c>
      <c r="B1558" s="1" t="s">
        <v>192</v>
      </c>
      <c r="C1558" s="1" t="s">
        <v>67</v>
      </c>
      <c r="D1558" s="9">
        <f>ведомство!G270</f>
        <v>1946.8</v>
      </c>
      <c r="E1558" s="9">
        <f>ведомство!H270</f>
        <v>1946.8</v>
      </c>
      <c r="F1558" s="9">
        <f>ведомство!I270</f>
        <v>1470</v>
      </c>
      <c r="G1558" s="9">
        <f>ведомство!J270</f>
        <v>1470</v>
      </c>
      <c r="H1558" s="9">
        <f>ведомство!K270</f>
        <v>1186.3625</v>
      </c>
      <c r="I1558" s="9">
        <f t="shared" si="816"/>
        <v>60.939105198274092</v>
      </c>
      <c r="J1558" s="9">
        <f t="shared" si="817"/>
        <v>80.704931972789112</v>
      </c>
    </row>
    <row r="1559" spans="1:10" ht="25.5">
      <c r="A1559" s="8" t="s">
        <v>80</v>
      </c>
      <c r="B1559" s="1" t="s">
        <v>192</v>
      </c>
      <c r="C1559" s="1" t="s">
        <v>81</v>
      </c>
      <c r="D1559" s="9">
        <f>D1560</f>
        <v>400</v>
      </c>
      <c r="E1559" s="9">
        <f>E1560</f>
        <v>400</v>
      </c>
      <c r="F1559" s="9">
        <f t="shared" ref="F1559:G1559" si="853">F1560</f>
        <v>300</v>
      </c>
      <c r="G1559" s="9">
        <f t="shared" si="853"/>
        <v>300</v>
      </c>
      <c r="H1559" s="9">
        <f>H1560</f>
        <v>300</v>
      </c>
      <c r="I1559" s="9">
        <f t="shared" si="816"/>
        <v>75</v>
      </c>
      <c r="J1559" s="9">
        <f t="shared" si="817"/>
        <v>100</v>
      </c>
    </row>
    <row r="1560" spans="1:10">
      <c r="A1560" s="8" t="s">
        <v>82</v>
      </c>
      <c r="B1560" s="1" t="s">
        <v>192</v>
      </c>
      <c r="C1560" s="1" t="s">
        <v>83</v>
      </c>
      <c r="D1560" s="9">
        <f>ведомство!G280</f>
        <v>400</v>
      </c>
      <c r="E1560" s="9">
        <f>ведомство!H280</f>
        <v>400</v>
      </c>
      <c r="F1560" s="9">
        <f>ведомство!I280</f>
        <v>300</v>
      </c>
      <c r="G1560" s="9">
        <f>ведомство!J280</f>
        <v>300</v>
      </c>
      <c r="H1560" s="9">
        <f>ведомство!K280</f>
        <v>300</v>
      </c>
      <c r="I1560" s="9">
        <f t="shared" si="816"/>
        <v>75</v>
      </c>
      <c r="J1560" s="9">
        <f t="shared" si="817"/>
        <v>100</v>
      </c>
    </row>
    <row r="1561" spans="1:10">
      <c r="A1561" s="8" t="s">
        <v>72</v>
      </c>
      <c r="B1561" s="1" t="s">
        <v>192</v>
      </c>
      <c r="C1561" s="1" t="s">
        <v>73</v>
      </c>
      <c r="D1561" s="9">
        <f>D1562</f>
        <v>186.2</v>
      </c>
      <c r="E1561" s="9">
        <f>E1562</f>
        <v>186.2</v>
      </c>
      <c r="F1561" s="9">
        <f t="shared" ref="F1561:G1561" si="854">F1562</f>
        <v>23.2</v>
      </c>
      <c r="G1561" s="9">
        <f t="shared" si="854"/>
        <v>23.2</v>
      </c>
      <c r="H1561" s="9">
        <f>H1562</f>
        <v>14.15808</v>
      </c>
      <c r="I1561" s="9">
        <f t="shared" si="816"/>
        <v>7.6036949516648775</v>
      </c>
      <c r="J1561" s="9">
        <f t="shared" si="817"/>
        <v>61.026206896551727</v>
      </c>
    </row>
    <row r="1562" spans="1:10">
      <c r="A1562" s="8" t="s">
        <v>74</v>
      </c>
      <c r="B1562" s="1" t="s">
        <v>192</v>
      </c>
      <c r="C1562" s="1" t="s">
        <v>75</v>
      </c>
      <c r="D1562" s="9">
        <f>ведомство!G272</f>
        <v>186.2</v>
      </c>
      <c r="E1562" s="9">
        <f>ведомство!H272</f>
        <v>186.2</v>
      </c>
      <c r="F1562" s="9">
        <f>ведомство!I272</f>
        <v>23.2</v>
      </c>
      <c r="G1562" s="9">
        <f>ведомство!J272</f>
        <v>23.2</v>
      </c>
      <c r="H1562" s="9">
        <f>ведомство!K272</f>
        <v>14.15808</v>
      </c>
      <c r="I1562" s="9">
        <f t="shared" si="816"/>
        <v>7.6036949516648775</v>
      </c>
      <c r="J1562" s="9">
        <f t="shared" si="817"/>
        <v>61.026206896551727</v>
      </c>
    </row>
    <row r="1563" spans="1:10" ht="38.25">
      <c r="A1563" s="8" t="s">
        <v>216</v>
      </c>
      <c r="B1563" s="1" t="s">
        <v>217</v>
      </c>
      <c r="C1563" s="1" t="s">
        <v>0</v>
      </c>
      <c r="D1563" s="9">
        <f>D1564</f>
        <v>71526.600000000006</v>
      </c>
      <c r="E1563" s="9">
        <f>E1564</f>
        <v>71526.600000000006</v>
      </c>
      <c r="F1563" s="9">
        <f t="shared" ref="F1563:G1564" si="855">F1564</f>
        <v>61452.822910000003</v>
      </c>
      <c r="G1563" s="9">
        <f t="shared" si="855"/>
        <v>61452.822910000003</v>
      </c>
      <c r="H1563" s="9">
        <f>H1564</f>
        <v>61452.822910000003</v>
      </c>
      <c r="I1563" s="9">
        <f t="shared" si="816"/>
        <v>85.916040899469564</v>
      </c>
      <c r="J1563" s="9">
        <f t="shared" si="817"/>
        <v>100</v>
      </c>
    </row>
    <row r="1564" spans="1:10">
      <c r="A1564" s="8" t="s">
        <v>72</v>
      </c>
      <c r="B1564" s="1" t="s">
        <v>217</v>
      </c>
      <c r="C1564" s="1" t="s">
        <v>73</v>
      </c>
      <c r="D1564" s="9">
        <f>D1565</f>
        <v>71526.600000000006</v>
      </c>
      <c r="E1564" s="9">
        <f>E1565</f>
        <v>71526.600000000006</v>
      </c>
      <c r="F1564" s="9">
        <f t="shared" si="855"/>
        <v>61452.822910000003</v>
      </c>
      <c r="G1564" s="9">
        <f t="shared" si="855"/>
        <v>61452.822910000003</v>
      </c>
      <c r="H1564" s="9">
        <f>H1565</f>
        <v>61452.822910000003</v>
      </c>
      <c r="I1564" s="9">
        <f t="shared" si="816"/>
        <v>85.916040899469564</v>
      </c>
      <c r="J1564" s="9">
        <f t="shared" si="817"/>
        <v>100</v>
      </c>
    </row>
    <row r="1565" spans="1:10" ht="38.25">
      <c r="A1565" s="8" t="s">
        <v>218</v>
      </c>
      <c r="B1565" s="1" t="s">
        <v>217</v>
      </c>
      <c r="C1565" s="1" t="s">
        <v>219</v>
      </c>
      <c r="D1565" s="9">
        <f>ведомство!G338</f>
        <v>71526.600000000006</v>
      </c>
      <c r="E1565" s="9">
        <f>ведомство!H338</f>
        <v>71526.600000000006</v>
      </c>
      <c r="F1565" s="9">
        <f>ведомство!I338</f>
        <v>61452.822910000003</v>
      </c>
      <c r="G1565" s="9">
        <f>ведомство!J338</f>
        <v>61452.822910000003</v>
      </c>
      <c r="H1565" s="9">
        <f>ведомство!K338</f>
        <v>61452.822910000003</v>
      </c>
      <c r="I1565" s="9">
        <f t="shared" si="816"/>
        <v>85.916040899469564</v>
      </c>
      <c r="J1565" s="9">
        <f t="shared" si="817"/>
        <v>100</v>
      </c>
    </row>
    <row r="1566" spans="1:10" ht="51">
      <c r="A1566" s="8" t="s">
        <v>220</v>
      </c>
      <c r="B1566" s="1" t="s">
        <v>221</v>
      </c>
      <c r="C1566" s="1" t="s">
        <v>0</v>
      </c>
      <c r="D1566" s="9">
        <f>D1567</f>
        <v>889292.6</v>
      </c>
      <c r="E1566" s="9">
        <f>E1567</f>
        <v>889282.09600000002</v>
      </c>
      <c r="F1566" s="9">
        <f t="shared" ref="F1566:G1567" si="856">F1567</f>
        <v>794743.68003000005</v>
      </c>
      <c r="G1566" s="9">
        <f t="shared" si="856"/>
        <v>794743.68003000005</v>
      </c>
      <c r="H1566" s="9">
        <f>H1567</f>
        <v>794743.68003000005</v>
      </c>
      <c r="I1566" s="9">
        <f t="shared" si="816"/>
        <v>89.369130853388953</v>
      </c>
      <c r="J1566" s="9">
        <f t="shared" si="817"/>
        <v>100</v>
      </c>
    </row>
    <row r="1567" spans="1:10">
      <c r="A1567" s="8" t="s">
        <v>72</v>
      </c>
      <c r="B1567" s="1" t="s">
        <v>221</v>
      </c>
      <c r="C1567" s="1" t="s">
        <v>73</v>
      </c>
      <c r="D1567" s="9">
        <f>D1568</f>
        <v>889292.6</v>
      </c>
      <c r="E1567" s="9">
        <f>E1568</f>
        <v>889282.09600000002</v>
      </c>
      <c r="F1567" s="9">
        <f t="shared" si="856"/>
        <v>794743.68003000005</v>
      </c>
      <c r="G1567" s="9">
        <f t="shared" si="856"/>
        <v>794743.68003000005</v>
      </c>
      <c r="H1567" s="9">
        <f>H1568</f>
        <v>794743.68003000005</v>
      </c>
      <c r="I1567" s="9">
        <f t="shared" si="816"/>
        <v>89.369130853388953</v>
      </c>
      <c r="J1567" s="9">
        <f t="shared" si="817"/>
        <v>100</v>
      </c>
    </row>
    <row r="1568" spans="1:10" ht="38.25">
      <c r="A1568" s="8" t="s">
        <v>218</v>
      </c>
      <c r="B1568" s="1" t="s">
        <v>221</v>
      </c>
      <c r="C1568" s="1" t="s">
        <v>219</v>
      </c>
      <c r="D1568" s="9">
        <f>ведомство!G341</f>
        <v>889292.6</v>
      </c>
      <c r="E1568" s="9">
        <f>ведомство!H341</f>
        <v>889282.09600000002</v>
      </c>
      <c r="F1568" s="9">
        <f>ведомство!I341</f>
        <v>794743.68003000005</v>
      </c>
      <c r="G1568" s="9">
        <f>ведомство!J341</f>
        <v>794743.68003000005</v>
      </c>
      <c r="H1568" s="9">
        <f>ведомство!K341</f>
        <v>794743.68003000005</v>
      </c>
      <c r="I1568" s="9">
        <f t="shared" si="816"/>
        <v>89.369130853388953</v>
      </c>
      <c r="J1568" s="9">
        <f t="shared" si="817"/>
        <v>100</v>
      </c>
    </row>
    <row r="1569" spans="1:10" ht="51">
      <c r="A1569" s="8" t="s">
        <v>222</v>
      </c>
      <c r="B1569" s="1" t="s">
        <v>223</v>
      </c>
      <c r="C1569" s="1" t="s">
        <v>0</v>
      </c>
      <c r="D1569" s="9">
        <f>D1570</f>
        <v>1442194</v>
      </c>
      <c r="E1569" s="9">
        <f>E1570</f>
        <v>1442156.87956</v>
      </c>
      <c r="F1569" s="9">
        <f t="shared" ref="F1569:G1570" si="857">F1570</f>
        <v>1159661.5078199999</v>
      </c>
      <c r="G1569" s="9">
        <f t="shared" si="857"/>
        <v>1159661.5078199999</v>
      </c>
      <c r="H1569" s="9">
        <f>H1570</f>
        <v>1159661.5078199999</v>
      </c>
      <c r="I1569" s="9">
        <f t="shared" si="816"/>
        <v>80.411605994890863</v>
      </c>
      <c r="J1569" s="9">
        <f t="shared" si="817"/>
        <v>100</v>
      </c>
    </row>
    <row r="1570" spans="1:10">
      <c r="A1570" s="8" t="s">
        <v>72</v>
      </c>
      <c r="B1570" s="1" t="s">
        <v>223</v>
      </c>
      <c r="C1570" s="1" t="s">
        <v>73</v>
      </c>
      <c r="D1570" s="9">
        <f>D1571</f>
        <v>1442194</v>
      </c>
      <c r="E1570" s="9">
        <f>E1571</f>
        <v>1442156.87956</v>
      </c>
      <c r="F1570" s="9">
        <f t="shared" si="857"/>
        <v>1159661.5078199999</v>
      </c>
      <c r="G1570" s="9">
        <f t="shared" si="857"/>
        <v>1159661.5078199999</v>
      </c>
      <c r="H1570" s="9">
        <f>H1571</f>
        <v>1159661.5078199999</v>
      </c>
      <c r="I1570" s="9">
        <f t="shared" si="816"/>
        <v>80.411605994890863</v>
      </c>
      <c r="J1570" s="9">
        <f t="shared" si="817"/>
        <v>100</v>
      </c>
    </row>
    <row r="1571" spans="1:10" ht="38.25">
      <c r="A1571" s="8" t="s">
        <v>218</v>
      </c>
      <c r="B1571" s="1" t="s">
        <v>223</v>
      </c>
      <c r="C1571" s="1" t="s">
        <v>219</v>
      </c>
      <c r="D1571" s="9">
        <f>ведомство!G344</f>
        <v>1442194</v>
      </c>
      <c r="E1571" s="9">
        <f>ведомство!H344</f>
        <v>1442156.87956</v>
      </c>
      <c r="F1571" s="9">
        <f>ведомство!I344</f>
        <v>1159661.5078199999</v>
      </c>
      <c r="G1571" s="9">
        <f>ведомство!J344</f>
        <v>1159661.5078199999</v>
      </c>
      <c r="H1571" s="9">
        <f>ведомство!K344</f>
        <v>1159661.5078199999</v>
      </c>
      <c r="I1571" s="9">
        <f t="shared" si="816"/>
        <v>80.411605994890863</v>
      </c>
      <c r="J1571" s="9">
        <f t="shared" si="817"/>
        <v>100</v>
      </c>
    </row>
    <row r="1572" spans="1:10" ht="38.25">
      <c r="A1572" s="8" t="s">
        <v>224</v>
      </c>
      <c r="B1572" s="1" t="s">
        <v>225</v>
      </c>
      <c r="C1572" s="1" t="s">
        <v>0</v>
      </c>
      <c r="D1572" s="9">
        <f>D1573</f>
        <v>96964.5</v>
      </c>
      <c r="E1572" s="9">
        <f>E1573</f>
        <v>96964.5</v>
      </c>
      <c r="F1572" s="9">
        <f t="shared" ref="F1572:G1573" si="858">F1573</f>
        <v>68411.965270000001</v>
      </c>
      <c r="G1572" s="9">
        <f t="shared" si="858"/>
        <v>68411.965270000001</v>
      </c>
      <c r="H1572" s="9">
        <f>H1573</f>
        <v>68411.965270000001</v>
      </c>
      <c r="I1572" s="9">
        <f t="shared" ref="I1572:I1638" si="859">H1572/E1572*100</f>
        <v>70.553620417781772</v>
      </c>
      <c r="J1572" s="9">
        <f t="shared" ref="J1572:J1638" si="860">H1572/F1572*100</f>
        <v>100</v>
      </c>
    </row>
    <row r="1573" spans="1:10">
      <c r="A1573" s="8" t="s">
        <v>72</v>
      </c>
      <c r="B1573" s="1" t="s">
        <v>225</v>
      </c>
      <c r="C1573" s="1" t="s">
        <v>73</v>
      </c>
      <c r="D1573" s="9">
        <f>D1574</f>
        <v>96964.5</v>
      </c>
      <c r="E1573" s="9">
        <f>E1574</f>
        <v>96964.5</v>
      </c>
      <c r="F1573" s="9">
        <f t="shared" si="858"/>
        <v>68411.965270000001</v>
      </c>
      <c r="G1573" s="9">
        <f t="shared" si="858"/>
        <v>68411.965270000001</v>
      </c>
      <c r="H1573" s="9">
        <f>H1574</f>
        <v>68411.965270000001</v>
      </c>
      <c r="I1573" s="9">
        <f t="shared" si="859"/>
        <v>70.553620417781772</v>
      </c>
      <c r="J1573" s="9">
        <f t="shared" si="860"/>
        <v>100</v>
      </c>
    </row>
    <row r="1574" spans="1:10" ht="38.25">
      <c r="A1574" s="8" t="s">
        <v>218</v>
      </c>
      <c r="B1574" s="1" t="s">
        <v>225</v>
      </c>
      <c r="C1574" s="1" t="s">
        <v>219</v>
      </c>
      <c r="D1574" s="9">
        <f>ведомство!G347</f>
        <v>96964.5</v>
      </c>
      <c r="E1574" s="9">
        <f>ведомство!H347</f>
        <v>96964.5</v>
      </c>
      <c r="F1574" s="9">
        <f>ведомство!I347</f>
        <v>68411.965270000001</v>
      </c>
      <c r="G1574" s="9">
        <f>ведомство!J347</f>
        <v>68411.965270000001</v>
      </c>
      <c r="H1574" s="9">
        <f>ведомство!K347</f>
        <v>68411.965270000001</v>
      </c>
      <c r="I1574" s="9">
        <f t="shared" si="859"/>
        <v>70.553620417781772</v>
      </c>
      <c r="J1574" s="9">
        <f t="shared" si="860"/>
        <v>100</v>
      </c>
    </row>
    <row r="1575" spans="1:10" ht="51">
      <c r="A1575" s="8" t="s">
        <v>226</v>
      </c>
      <c r="B1575" s="1" t="s">
        <v>227</v>
      </c>
      <c r="C1575" s="1" t="s">
        <v>0</v>
      </c>
      <c r="D1575" s="9">
        <f>D1576</f>
        <v>444042.1</v>
      </c>
      <c r="E1575" s="9">
        <f>E1576</f>
        <v>444012.1</v>
      </c>
      <c r="F1575" s="9">
        <f t="shared" ref="F1575:G1576" si="861">F1576</f>
        <v>336992.06056000001</v>
      </c>
      <c r="G1575" s="9">
        <f t="shared" si="861"/>
        <v>336992.06056000001</v>
      </c>
      <c r="H1575" s="9">
        <f>H1576</f>
        <v>336992.06056000001</v>
      </c>
      <c r="I1575" s="9">
        <f t="shared" si="859"/>
        <v>75.897044373340279</v>
      </c>
      <c r="J1575" s="9">
        <f t="shared" si="860"/>
        <v>100</v>
      </c>
    </row>
    <row r="1576" spans="1:10">
      <c r="A1576" s="8" t="s">
        <v>72</v>
      </c>
      <c r="B1576" s="1" t="s">
        <v>227</v>
      </c>
      <c r="C1576" s="1" t="s">
        <v>73</v>
      </c>
      <c r="D1576" s="9">
        <f>D1577</f>
        <v>444042.1</v>
      </c>
      <c r="E1576" s="9">
        <f>E1577</f>
        <v>444012.1</v>
      </c>
      <c r="F1576" s="9">
        <f t="shared" si="861"/>
        <v>336992.06056000001</v>
      </c>
      <c r="G1576" s="9">
        <f t="shared" si="861"/>
        <v>336992.06056000001</v>
      </c>
      <c r="H1576" s="9">
        <f>H1577</f>
        <v>336992.06056000001</v>
      </c>
      <c r="I1576" s="9">
        <f t="shared" si="859"/>
        <v>75.897044373340279</v>
      </c>
      <c r="J1576" s="9">
        <f t="shared" si="860"/>
        <v>100</v>
      </c>
    </row>
    <row r="1577" spans="1:10" ht="38.25">
      <c r="A1577" s="8" t="s">
        <v>218</v>
      </c>
      <c r="B1577" s="1" t="s">
        <v>227</v>
      </c>
      <c r="C1577" s="1" t="s">
        <v>219</v>
      </c>
      <c r="D1577" s="9">
        <f>ведомство!G350</f>
        <v>444042.1</v>
      </c>
      <c r="E1577" s="9">
        <f>ведомство!H350</f>
        <v>444012.1</v>
      </c>
      <c r="F1577" s="9">
        <f>ведомство!I350</f>
        <v>336992.06056000001</v>
      </c>
      <c r="G1577" s="9">
        <f>ведомство!J350</f>
        <v>336992.06056000001</v>
      </c>
      <c r="H1577" s="9">
        <f>ведомство!K350</f>
        <v>336992.06056000001</v>
      </c>
      <c r="I1577" s="9">
        <f t="shared" si="859"/>
        <v>75.897044373340279</v>
      </c>
      <c r="J1577" s="9">
        <f t="shared" si="860"/>
        <v>100</v>
      </c>
    </row>
    <row r="1578" spans="1:10" ht="38.25">
      <c r="A1578" s="8" t="s">
        <v>193</v>
      </c>
      <c r="B1578" s="1" t="s">
        <v>194</v>
      </c>
      <c r="C1578" s="1" t="s">
        <v>0</v>
      </c>
      <c r="D1578" s="9">
        <f>D1579</f>
        <v>1854</v>
      </c>
      <c r="E1578" s="9">
        <f>E1579</f>
        <v>1854</v>
      </c>
      <c r="F1578" s="9">
        <f t="shared" ref="F1578:G1579" si="862">F1579</f>
        <v>1390.5</v>
      </c>
      <c r="G1578" s="9">
        <f t="shared" si="862"/>
        <v>1390.5</v>
      </c>
      <c r="H1578" s="9">
        <f>H1579</f>
        <v>1390.5</v>
      </c>
      <c r="I1578" s="9">
        <f t="shared" si="859"/>
        <v>75</v>
      </c>
      <c r="J1578" s="9">
        <f t="shared" si="860"/>
        <v>100</v>
      </c>
    </row>
    <row r="1579" spans="1:10" ht="25.5">
      <c r="A1579" s="8" t="s">
        <v>80</v>
      </c>
      <c r="B1579" s="1" t="s">
        <v>194</v>
      </c>
      <c r="C1579" s="1" t="s">
        <v>81</v>
      </c>
      <c r="D1579" s="9">
        <f>D1580</f>
        <v>1854</v>
      </c>
      <c r="E1579" s="9">
        <f>E1580</f>
        <v>1854</v>
      </c>
      <c r="F1579" s="9">
        <f t="shared" si="862"/>
        <v>1390.5</v>
      </c>
      <c r="G1579" s="9">
        <f t="shared" si="862"/>
        <v>1390.5</v>
      </c>
      <c r="H1579" s="9">
        <f>H1580</f>
        <v>1390.5</v>
      </c>
      <c r="I1579" s="9">
        <f t="shared" si="859"/>
        <v>75</v>
      </c>
      <c r="J1579" s="9">
        <f t="shared" si="860"/>
        <v>100</v>
      </c>
    </row>
    <row r="1580" spans="1:10" ht="25.5">
      <c r="A1580" s="8" t="s">
        <v>195</v>
      </c>
      <c r="B1580" s="1" t="s">
        <v>194</v>
      </c>
      <c r="C1580" s="1" t="s">
        <v>196</v>
      </c>
      <c r="D1580" s="9">
        <f>ведомство!G283</f>
        <v>1854</v>
      </c>
      <c r="E1580" s="9">
        <f>ведомство!H283</f>
        <v>1854</v>
      </c>
      <c r="F1580" s="9">
        <f>ведомство!I283</f>
        <v>1390.5</v>
      </c>
      <c r="G1580" s="9">
        <f>ведомство!J283</f>
        <v>1390.5</v>
      </c>
      <c r="H1580" s="9">
        <f>ведомство!K283</f>
        <v>1390.5</v>
      </c>
      <c r="I1580" s="9">
        <f t="shared" si="859"/>
        <v>75</v>
      </c>
      <c r="J1580" s="9">
        <f t="shared" si="860"/>
        <v>100</v>
      </c>
    </row>
    <row r="1581" spans="1:10" ht="38.25">
      <c r="A1581" s="8" t="s">
        <v>197</v>
      </c>
      <c r="B1581" s="1" t="s">
        <v>198</v>
      </c>
      <c r="C1581" s="1" t="s">
        <v>0</v>
      </c>
      <c r="D1581" s="9">
        <f>D1582</f>
        <v>66525.2</v>
      </c>
      <c r="E1581" s="9">
        <f>E1582</f>
        <v>66525.207939999993</v>
      </c>
      <c r="F1581" s="9">
        <f t="shared" ref="F1581:G1582" si="863">F1582</f>
        <v>45500</v>
      </c>
      <c r="G1581" s="9">
        <f t="shared" si="863"/>
        <v>45500</v>
      </c>
      <c r="H1581" s="9">
        <f>H1582</f>
        <v>45500</v>
      </c>
      <c r="I1581" s="9">
        <f t="shared" si="859"/>
        <v>68.395126312174909</v>
      </c>
      <c r="J1581" s="9">
        <f t="shared" si="860"/>
        <v>100</v>
      </c>
    </row>
    <row r="1582" spans="1:10" ht="25.5">
      <c r="A1582" s="8" t="s">
        <v>80</v>
      </c>
      <c r="B1582" s="1" t="s">
        <v>198</v>
      </c>
      <c r="C1582" s="1" t="s">
        <v>81</v>
      </c>
      <c r="D1582" s="9">
        <f>D1583</f>
        <v>66525.2</v>
      </c>
      <c r="E1582" s="9">
        <f>E1583</f>
        <v>66525.207939999993</v>
      </c>
      <c r="F1582" s="9">
        <f t="shared" si="863"/>
        <v>45500</v>
      </c>
      <c r="G1582" s="9">
        <f t="shared" si="863"/>
        <v>45500</v>
      </c>
      <c r="H1582" s="9">
        <f>H1583</f>
        <v>45500</v>
      </c>
      <c r="I1582" s="9">
        <f t="shared" si="859"/>
        <v>68.395126312174909</v>
      </c>
      <c r="J1582" s="9">
        <f t="shared" si="860"/>
        <v>100</v>
      </c>
    </row>
    <row r="1583" spans="1:10" ht="25.5">
      <c r="A1583" s="8" t="s">
        <v>195</v>
      </c>
      <c r="B1583" s="1" t="s">
        <v>198</v>
      </c>
      <c r="C1583" s="1" t="s">
        <v>196</v>
      </c>
      <c r="D1583" s="9">
        <f>ведомство!G286</f>
        <v>66525.2</v>
      </c>
      <c r="E1583" s="9">
        <f>ведомство!H286</f>
        <v>66525.207939999993</v>
      </c>
      <c r="F1583" s="9">
        <f>ведомство!I286</f>
        <v>45500</v>
      </c>
      <c r="G1583" s="9">
        <f>ведомство!J286</f>
        <v>45500</v>
      </c>
      <c r="H1583" s="9">
        <f>ведомство!K286</f>
        <v>45500</v>
      </c>
      <c r="I1583" s="9">
        <f t="shared" si="859"/>
        <v>68.395126312174909</v>
      </c>
      <c r="J1583" s="9">
        <f t="shared" si="860"/>
        <v>100</v>
      </c>
    </row>
    <row r="1584" spans="1:10" s="88" customFormat="1" ht="63.75">
      <c r="A1584" s="59" t="s">
        <v>1231</v>
      </c>
      <c r="B1584" s="29" t="s">
        <v>1230</v>
      </c>
      <c r="C1584" s="28"/>
      <c r="D1584" s="9">
        <f t="shared" ref="D1584:H1585" si="864">D1585</f>
        <v>37234</v>
      </c>
      <c r="E1584" s="9">
        <f t="shared" si="864"/>
        <v>37234</v>
      </c>
      <c r="F1584" s="9">
        <f t="shared" si="864"/>
        <v>0</v>
      </c>
      <c r="G1584" s="9">
        <f t="shared" si="864"/>
        <v>0</v>
      </c>
      <c r="H1584" s="9">
        <f t="shared" si="864"/>
        <v>0</v>
      </c>
      <c r="I1584" s="9">
        <f t="shared" ref="I1584:I1586" si="865">H1584/E1584*100</f>
        <v>0</v>
      </c>
      <c r="J1584" s="9">
        <v>0</v>
      </c>
    </row>
    <row r="1585" spans="1:10" s="88" customFormat="1">
      <c r="A1585" s="59" t="s">
        <v>26</v>
      </c>
      <c r="B1585" s="29" t="s">
        <v>1230</v>
      </c>
      <c r="C1585" s="28">
        <v>500</v>
      </c>
      <c r="D1585" s="9">
        <f t="shared" si="864"/>
        <v>37234</v>
      </c>
      <c r="E1585" s="9">
        <f t="shared" si="864"/>
        <v>37234</v>
      </c>
      <c r="F1585" s="9">
        <f t="shared" si="864"/>
        <v>0</v>
      </c>
      <c r="G1585" s="9">
        <f t="shared" si="864"/>
        <v>0</v>
      </c>
      <c r="H1585" s="9">
        <f t="shared" si="864"/>
        <v>0</v>
      </c>
      <c r="I1585" s="9">
        <f t="shared" si="865"/>
        <v>0</v>
      </c>
      <c r="J1585" s="9">
        <v>0</v>
      </c>
    </row>
    <row r="1586" spans="1:10" s="88" customFormat="1">
      <c r="A1586" s="62" t="s">
        <v>352</v>
      </c>
      <c r="B1586" s="29" t="s">
        <v>1230</v>
      </c>
      <c r="C1586" s="28">
        <v>540</v>
      </c>
      <c r="D1586" s="9">
        <f>ведомство!G289</f>
        <v>37234</v>
      </c>
      <c r="E1586" s="9">
        <f>ведомство!H289</f>
        <v>37234</v>
      </c>
      <c r="F1586" s="9">
        <f>ведомство!I289</f>
        <v>0</v>
      </c>
      <c r="G1586" s="9">
        <f>ведомство!J289</f>
        <v>0</v>
      </c>
      <c r="H1586" s="9">
        <f>ведомство!K289</f>
        <v>0</v>
      </c>
      <c r="I1586" s="9">
        <f t="shared" si="865"/>
        <v>0</v>
      </c>
      <c r="J1586" s="9">
        <v>0</v>
      </c>
    </row>
    <row r="1587" spans="1:10">
      <c r="A1587" s="4" t="s">
        <v>0</v>
      </c>
      <c r="B1587" s="17" t="s">
        <v>0</v>
      </c>
      <c r="C1587" s="5" t="s">
        <v>0</v>
      </c>
      <c r="D1587" s="7" t="s">
        <v>0</v>
      </c>
      <c r="E1587" s="7" t="s">
        <v>0</v>
      </c>
      <c r="F1587" s="7" t="s">
        <v>0</v>
      </c>
      <c r="G1587" s="7" t="s">
        <v>0</v>
      </c>
      <c r="H1587" s="7" t="s">
        <v>0</v>
      </c>
      <c r="I1587" s="7"/>
      <c r="J1587" s="7"/>
    </row>
    <row r="1588" spans="1:10" ht="51">
      <c r="A1588" s="4" t="s">
        <v>953</v>
      </c>
      <c r="B1588" s="5" t="s">
        <v>954</v>
      </c>
      <c r="C1588" s="5" t="s">
        <v>0</v>
      </c>
      <c r="D1588" s="7">
        <f>D1589+D1602+D1607+D1619</f>
        <v>76150.8</v>
      </c>
      <c r="E1588" s="7">
        <f>E1589+E1602+E1607+E1619</f>
        <v>49298.728000000003</v>
      </c>
      <c r="F1588" s="7">
        <f t="shared" ref="F1588:G1588" si="866">F1589+F1602+F1607+F1619</f>
        <v>46142.868000000002</v>
      </c>
      <c r="G1588" s="7">
        <f t="shared" si="866"/>
        <v>45119.21761</v>
      </c>
      <c r="H1588" s="7">
        <f>H1589+H1602+H1607+H1619</f>
        <v>43018.69803</v>
      </c>
      <c r="I1588" s="7">
        <f t="shared" si="859"/>
        <v>87.261273820290043</v>
      </c>
      <c r="J1588" s="7">
        <f t="shared" si="860"/>
        <v>93.229354599284989</v>
      </c>
    </row>
    <row r="1589" spans="1:10" ht="38.25">
      <c r="A1589" s="4" t="s">
        <v>955</v>
      </c>
      <c r="B1589" s="5" t="s">
        <v>956</v>
      </c>
      <c r="C1589" s="5" t="s">
        <v>0</v>
      </c>
      <c r="D1589" s="7">
        <f>D1590+D1595+D1598</f>
        <v>10000</v>
      </c>
      <c r="E1589" s="7">
        <f>E1590+E1595+E1598</f>
        <v>10000</v>
      </c>
      <c r="F1589" s="7">
        <f t="shared" ref="F1589:G1589" si="867">F1590+F1595+F1598</f>
        <v>9877</v>
      </c>
      <c r="G1589" s="7">
        <f t="shared" si="867"/>
        <v>9877</v>
      </c>
      <c r="H1589" s="7">
        <f>H1590+H1595+H1598</f>
        <v>9825.1299199999994</v>
      </c>
      <c r="I1589" s="7">
        <f t="shared" si="859"/>
        <v>98.251299199999991</v>
      </c>
      <c r="J1589" s="7">
        <f t="shared" si="860"/>
        <v>99.474839728662545</v>
      </c>
    </row>
    <row r="1590" spans="1:10">
      <c r="A1590" s="8" t="s">
        <v>609</v>
      </c>
      <c r="B1590" s="1" t="s">
        <v>957</v>
      </c>
      <c r="C1590" s="1" t="s">
        <v>0</v>
      </c>
      <c r="D1590" s="9">
        <f>D1591+D1593</f>
        <v>500</v>
      </c>
      <c r="E1590" s="9">
        <f>E1591+E1593</f>
        <v>500</v>
      </c>
      <c r="F1590" s="9">
        <f t="shared" ref="F1590:G1590" si="868">F1591+F1593</f>
        <v>377</v>
      </c>
      <c r="G1590" s="9">
        <f t="shared" si="868"/>
        <v>377</v>
      </c>
      <c r="H1590" s="9">
        <f>H1591+H1593</f>
        <v>325.12992000000003</v>
      </c>
      <c r="I1590" s="9">
        <f t="shared" si="859"/>
        <v>65.025984000000008</v>
      </c>
      <c r="J1590" s="9">
        <f t="shared" si="860"/>
        <v>86.241358090185685</v>
      </c>
    </row>
    <row r="1591" spans="1:10" ht="51">
      <c r="A1591" s="8" t="s">
        <v>60</v>
      </c>
      <c r="B1591" s="1" t="s">
        <v>957</v>
      </c>
      <c r="C1591" s="1" t="s">
        <v>61</v>
      </c>
      <c r="D1591" s="9">
        <f>D1592</f>
        <v>276</v>
      </c>
      <c r="E1591" s="9">
        <f>E1592</f>
        <v>276</v>
      </c>
      <c r="F1591" s="9">
        <f t="shared" ref="F1591:G1591" si="869">F1592</f>
        <v>207</v>
      </c>
      <c r="G1591" s="9">
        <f t="shared" si="869"/>
        <v>207</v>
      </c>
      <c r="H1591" s="9">
        <f>H1592</f>
        <v>206.93145000000001</v>
      </c>
      <c r="I1591" s="9">
        <f t="shared" si="859"/>
        <v>74.975163043478261</v>
      </c>
      <c r="J1591" s="9">
        <f t="shared" si="860"/>
        <v>99.966884057971015</v>
      </c>
    </row>
    <row r="1592" spans="1:10" ht="25.5">
      <c r="A1592" s="8" t="s">
        <v>62</v>
      </c>
      <c r="B1592" s="1" t="s">
        <v>957</v>
      </c>
      <c r="C1592" s="1" t="s">
        <v>63</v>
      </c>
      <c r="D1592" s="9">
        <f>ведомство!G2496</f>
        <v>276</v>
      </c>
      <c r="E1592" s="9">
        <f>ведомство!H2496</f>
        <v>276</v>
      </c>
      <c r="F1592" s="9">
        <f>ведомство!I2496</f>
        <v>207</v>
      </c>
      <c r="G1592" s="9">
        <f>ведомство!J2496</f>
        <v>207</v>
      </c>
      <c r="H1592" s="9">
        <f>ведомство!K2496</f>
        <v>206.93145000000001</v>
      </c>
      <c r="I1592" s="9">
        <f t="shared" si="859"/>
        <v>74.975163043478261</v>
      </c>
      <c r="J1592" s="9">
        <f t="shared" si="860"/>
        <v>99.966884057971015</v>
      </c>
    </row>
    <row r="1593" spans="1:10" ht="25.5">
      <c r="A1593" s="8" t="s">
        <v>64</v>
      </c>
      <c r="B1593" s="1" t="s">
        <v>957</v>
      </c>
      <c r="C1593" s="1" t="s">
        <v>65</v>
      </c>
      <c r="D1593" s="9">
        <f>D1594</f>
        <v>224</v>
      </c>
      <c r="E1593" s="9">
        <f>E1594</f>
        <v>224</v>
      </c>
      <c r="F1593" s="9">
        <f t="shared" ref="F1593:G1593" si="870">F1594</f>
        <v>170</v>
      </c>
      <c r="G1593" s="9">
        <f t="shared" si="870"/>
        <v>170</v>
      </c>
      <c r="H1593" s="9">
        <f>H1594</f>
        <v>118.19847</v>
      </c>
      <c r="I1593" s="9">
        <f t="shared" si="859"/>
        <v>52.767174107142857</v>
      </c>
      <c r="J1593" s="9">
        <f t="shared" si="860"/>
        <v>69.528511764705883</v>
      </c>
    </row>
    <row r="1594" spans="1:10" ht="25.5">
      <c r="A1594" s="8" t="s">
        <v>66</v>
      </c>
      <c r="B1594" s="1" t="s">
        <v>957</v>
      </c>
      <c r="C1594" s="1" t="s">
        <v>67</v>
      </c>
      <c r="D1594" s="9">
        <f>ведомство!G2498</f>
        <v>224</v>
      </c>
      <c r="E1594" s="9">
        <f>ведомство!H2498</f>
        <v>224</v>
      </c>
      <c r="F1594" s="9">
        <f>ведомство!I2498</f>
        <v>170</v>
      </c>
      <c r="G1594" s="9">
        <f>ведомство!J2498</f>
        <v>170</v>
      </c>
      <c r="H1594" s="9">
        <f>ведомство!K2498</f>
        <v>118.19847</v>
      </c>
      <c r="I1594" s="9">
        <f t="shared" si="859"/>
        <v>52.767174107142857</v>
      </c>
      <c r="J1594" s="9">
        <f t="shared" si="860"/>
        <v>69.528511764705883</v>
      </c>
    </row>
    <row r="1595" spans="1:10" ht="25.5">
      <c r="A1595" s="8" t="s">
        <v>617</v>
      </c>
      <c r="B1595" s="1" t="s">
        <v>958</v>
      </c>
      <c r="C1595" s="1" t="s">
        <v>0</v>
      </c>
      <c r="D1595" s="9">
        <f>D1596</f>
        <v>7000</v>
      </c>
      <c r="E1595" s="9">
        <f>E1596</f>
        <v>7000</v>
      </c>
      <c r="F1595" s="9">
        <f t="shared" ref="F1595:G1596" si="871">F1596</f>
        <v>7000</v>
      </c>
      <c r="G1595" s="9">
        <f t="shared" si="871"/>
        <v>7000</v>
      </c>
      <c r="H1595" s="9">
        <f>H1596</f>
        <v>7000</v>
      </c>
      <c r="I1595" s="9">
        <f t="shared" si="859"/>
        <v>100</v>
      </c>
      <c r="J1595" s="9">
        <f t="shared" si="860"/>
        <v>100</v>
      </c>
    </row>
    <row r="1596" spans="1:10" ht="25.5">
      <c r="A1596" s="8" t="s">
        <v>80</v>
      </c>
      <c r="B1596" s="1" t="s">
        <v>958</v>
      </c>
      <c r="C1596" s="1" t="s">
        <v>81</v>
      </c>
      <c r="D1596" s="9">
        <f>D1597</f>
        <v>7000</v>
      </c>
      <c r="E1596" s="9">
        <f>E1597</f>
        <v>7000</v>
      </c>
      <c r="F1596" s="9">
        <f t="shared" si="871"/>
        <v>7000</v>
      </c>
      <c r="G1596" s="9">
        <f t="shared" si="871"/>
        <v>7000</v>
      </c>
      <c r="H1596" s="9">
        <f>H1597</f>
        <v>7000</v>
      </c>
      <c r="I1596" s="9">
        <f t="shared" si="859"/>
        <v>100</v>
      </c>
      <c r="J1596" s="9">
        <f t="shared" si="860"/>
        <v>100</v>
      </c>
    </row>
    <row r="1597" spans="1:10" ht="25.5">
      <c r="A1597" s="8" t="s">
        <v>195</v>
      </c>
      <c r="B1597" s="1" t="s">
        <v>958</v>
      </c>
      <c r="C1597" s="1" t="s">
        <v>196</v>
      </c>
      <c r="D1597" s="9">
        <f>ведомство!G2501</f>
        <v>7000</v>
      </c>
      <c r="E1597" s="9">
        <f>ведомство!H2501</f>
        <v>7000</v>
      </c>
      <c r="F1597" s="9">
        <f>ведомство!I2501</f>
        <v>7000</v>
      </c>
      <c r="G1597" s="9">
        <f>ведомство!J2501</f>
        <v>7000</v>
      </c>
      <c r="H1597" s="9">
        <f>ведомство!K2501</f>
        <v>7000</v>
      </c>
      <c r="I1597" s="9">
        <f t="shared" si="859"/>
        <v>100</v>
      </c>
      <c r="J1597" s="9">
        <f t="shared" si="860"/>
        <v>100</v>
      </c>
    </row>
    <row r="1598" spans="1:10" ht="25.5">
      <c r="A1598" s="8" t="s">
        <v>959</v>
      </c>
      <c r="B1598" s="1" t="s">
        <v>960</v>
      </c>
      <c r="C1598" s="1" t="s">
        <v>0</v>
      </c>
      <c r="D1598" s="9">
        <f>D1599</f>
        <v>2500</v>
      </c>
      <c r="E1598" s="9">
        <f>E1599</f>
        <v>2500</v>
      </c>
      <c r="F1598" s="9">
        <f t="shared" ref="F1598:G1599" si="872">F1599</f>
        <v>2500</v>
      </c>
      <c r="G1598" s="9">
        <f t="shared" si="872"/>
        <v>2500</v>
      </c>
      <c r="H1598" s="9">
        <f>H1599</f>
        <v>2500</v>
      </c>
      <c r="I1598" s="9">
        <f t="shared" si="859"/>
        <v>100</v>
      </c>
      <c r="J1598" s="9">
        <f t="shared" si="860"/>
        <v>100</v>
      </c>
    </row>
    <row r="1599" spans="1:10">
      <c r="A1599" s="8" t="s">
        <v>26</v>
      </c>
      <c r="B1599" s="1" t="s">
        <v>960</v>
      </c>
      <c r="C1599" s="1" t="s">
        <v>27</v>
      </c>
      <c r="D1599" s="9">
        <f>D1600</f>
        <v>2500</v>
      </c>
      <c r="E1599" s="9">
        <f>E1600</f>
        <v>2500</v>
      </c>
      <c r="F1599" s="9">
        <f t="shared" si="872"/>
        <v>2500</v>
      </c>
      <c r="G1599" s="9">
        <f t="shared" si="872"/>
        <v>2500</v>
      </c>
      <c r="H1599" s="9">
        <f>H1600</f>
        <v>2500</v>
      </c>
      <c r="I1599" s="9">
        <f t="shared" si="859"/>
        <v>100</v>
      </c>
      <c r="J1599" s="9">
        <f t="shared" si="860"/>
        <v>100</v>
      </c>
    </row>
    <row r="1600" spans="1:10">
      <c r="A1600" s="8" t="s">
        <v>56</v>
      </c>
      <c r="B1600" s="1" t="s">
        <v>960</v>
      </c>
      <c r="C1600" s="1" t="s">
        <v>57</v>
      </c>
      <c r="D1600" s="9">
        <f>ведомство!G2504</f>
        <v>2500</v>
      </c>
      <c r="E1600" s="9">
        <f>ведомство!H2504</f>
        <v>2500</v>
      </c>
      <c r="F1600" s="9">
        <f>ведомство!I2504</f>
        <v>2500</v>
      </c>
      <c r="G1600" s="9">
        <f>ведомство!J2504</f>
        <v>2500</v>
      </c>
      <c r="H1600" s="9">
        <f>ведомство!K2504</f>
        <v>2500</v>
      </c>
      <c r="I1600" s="9">
        <f t="shared" si="859"/>
        <v>100</v>
      </c>
      <c r="J1600" s="9">
        <f t="shared" si="860"/>
        <v>100</v>
      </c>
    </row>
    <row r="1601" spans="1:10">
      <c r="A1601" s="4" t="s">
        <v>0</v>
      </c>
      <c r="B1601" s="17" t="s">
        <v>0</v>
      </c>
      <c r="C1601" s="5" t="s">
        <v>0</v>
      </c>
      <c r="D1601" s="7" t="s">
        <v>0</v>
      </c>
      <c r="E1601" s="7" t="s">
        <v>0</v>
      </c>
      <c r="F1601" s="7" t="s">
        <v>0</v>
      </c>
      <c r="G1601" s="7" t="s">
        <v>0</v>
      </c>
      <c r="H1601" s="7" t="s">
        <v>0</v>
      </c>
      <c r="I1601" s="7"/>
      <c r="J1601" s="7"/>
    </row>
    <row r="1602" spans="1:10" ht="25.5">
      <c r="A1602" s="4" t="s">
        <v>961</v>
      </c>
      <c r="B1602" s="5" t="s">
        <v>962</v>
      </c>
      <c r="C1602" s="5" t="s">
        <v>0</v>
      </c>
      <c r="D1602" s="7">
        <f t="shared" ref="D1602:H1604" si="873">D1603</f>
        <v>12500</v>
      </c>
      <c r="E1602" s="7">
        <f t="shared" si="873"/>
        <v>12500</v>
      </c>
      <c r="F1602" s="7">
        <f t="shared" si="873"/>
        <v>12500</v>
      </c>
      <c r="G1602" s="7">
        <f t="shared" si="873"/>
        <v>12500</v>
      </c>
      <c r="H1602" s="7">
        <f t="shared" si="873"/>
        <v>12141.709000000001</v>
      </c>
      <c r="I1602" s="7">
        <f t="shared" si="859"/>
        <v>97.133672000000004</v>
      </c>
      <c r="J1602" s="7">
        <f t="shared" si="860"/>
        <v>97.133672000000004</v>
      </c>
    </row>
    <row r="1603" spans="1:10" ht="25.5">
      <c r="A1603" s="8" t="s">
        <v>963</v>
      </c>
      <c r="B1603" s="1" t="s">
        <v>964</v>
      </c>
      <c r="C1603" s="1" t="s">
        <v>0</v>
      </c>
      <c r="D1603" s="22">
        <f t="shared" si="873"/>
        <v>12500</v>
      </c>
      <c r="E1603" s="22">
        <f t="shared" si="873"/>
        <v>12500</v>
      </c>
      <c r="F1603" s="22">
        <f t="shared" si="873"/>
        <v>12500</v>
      </c>
      <c r="G1603" s="22">
        <f t="shared" si="873"/>
        <v>12500</v>
      </c>
      <c r="H1603" s="22">
        <f t="shared" si="873"/>
        <v>12141.709000000001</v>
      </c>
      <c r="I1603" s="9">
        <f t="shared" si="859"/>
        <v>97.133672000000004</v>
      </c>
      <c r="J1603" s="9">
        <f t="shared" si="860"/>
        <v>97.133672000000004</v>
      </c>
    </row>
    <row r="1604" spans="1:10">
      <c r="A1604" s="8" t="s">
        <v>26</v>
      </c>
      <c r="B1604" s="1" t="s">
        <v>964</v>
      </c>
      <c r="C1604" s="1" t="s">
        <v>27</v>
      </c>
      <c r="D1604" s="9">
        <f t="shared" si="873"/>
        <v>12500</v>
      </c>
      <c r="E1604" s="9">
        <f t="shared" si="873"/>
        <v>12500</v>
      </c>
      <c r="F1604" s="9">
        <f t="shared" si="873"/>
        <v>12500</v>
      </c>
      <c r="G1604" s="9">
        <f t="shared" si="873"/>
        <v>12500</v>
      </c>
      <c r="H1604" s="9">
        <f t="shared" si="873"/>
        <v>12141.709000000001</v>
      </c>
      <c r="I1604" s="9">
        <f t="shared" si="859"/>
        <v>97.133672000000004</v>
      </c>
      <c r="J1604" s="9">
        <f t="shared" si="860"/>
        <v>97.133672000000004</v>
      </c>
    </row>
    <row r="1605" spans="1:10">
      <c r="A1605" s="8" t="s">
        <v>56</v>
      </c>
      <c r="B1605" s="1" t="s">
        <v>964</v>
      </c>
      <c r="C1605" s="1" t="s">
        <v>57</v>
      </c>
      <c r="D1605" s="9">
        <f>ведомство!G2508</f>
        <v>12500</v>
      </c>
      <c r="E1605" s="9">
        <f>ведомство!H2508</f>
        <v>12500</v>
      </c>
      <c r="F1605" s="9">
        <f>ведомство!I2508</f>
        <v>12500</v>
      </c>
      <c r="G1605" s="9">
        <f>ведомство!J2508</f>
        <v>12500</v>
      </c>
      <c r="H1605" s="9">
        <f>ведомство!K2508</f>
        <v>12141.709000000001</v>
      </c>
      <c r="I1605" s="9">
        <f t="shared" si="859"/>
        <v>97.133672000000004</v>
      </c>
      <c r="J1605" s="9">
        <f t="shared" si="860"/>
        <v>97.133672000000004</v>
      </c>
    </row>
    <row r="1606" spans="1:10">
      <c r="A1606" s="4" t="s">
        <v>0</v>
      </c>
      <c r="B1606" s="17" t="s">
        <v>0</v>
      </c>
      <c r="C1606" s="5" t="s">
        <v>0</v>
      </c>
      <c r="D1606" s="7" t="s">
        <v>0</v>
      </c>
      <c r="E1606" s="7" t="s">
        <v>0</v>
      </c>
      <c r="F1606" s="7" t="s">
        <v>0</v>
      </c>
      <c r="G1606" s="7" t="s">
        <v>0</v>
      </c>
      <c r="H1606" s="7" t="s">
        <v>0</v>
      </c>
      <c r="I1606" s="7"/>
      <c r="J1606" s="7"/>
    </row>
    <row r="1607" spans="1:10" ht="25.5">
      <c r="A1607" s="4" t="s">
        <v>965</v>
      </c>
      <c r="B1607" s="5" t="s">
        <v>966</v>
      </c>
      <c r="C1607" s="5" t="s">
        <v>0</v>
      </c>
      <c r="D1607" s="7">
        <f>D1608+D1615</f>
        <v>52650.8</v>
      </c>
      <c r="E1607" s="7">
        <f>E1608+E1615</f>
        <v>25798.728000000003</v>
      </c>
      <c r="F1607" s="7">
        <f t="shared" ref="F1607:G1607" si="874">F1608+F1615</f>
        <v>22765.868000000002</v>
      </c>
      <c r="G1607" s="7">
        <f t="shared" si="874"/>
        <v>21742.817610000002</v>
      </c>
      <c r="H1607" s="7">
        <f>H1608+H1615</f>
        <v>20052.532449999999</v>
      </c>
      <c r="I1607" s="7">
        <f t="shared" si="859"/>
        <v>77.72682610553511</v>
      </c>
      <c r="J1607" s="7">
        <f t="shared" si="860"/>
        <v>88.081563373731214</v>
      </c>
    </row>
    <row r="1608" spans="1:10" ht="25.5">
      <c r="A1608" s="8" t="s">
        <v>58</v>
      </c>
      <c r="B1608" s="1" t="s">
        <v>1030</v>
      </c>
      <c r="C1608" s="1" t="s">
        <v>0</v>
      </c>
      <c r="D1608" s="9">
        <f>D1609+D1611+D1613</f>
        <v>40128.400000000001</v>
      </c>
      <c r="E1608" s="9">
        <f>E1609+E1611+E1613</f>
        <v>13276.328000000001</v>
      </c>
      <c r="F1608" s="9">
        <f t="shared" ref="F1608:G1608" si="875">F1609+F1611+F1613</f>
        <v>13213.468000000001</v>
      </c>
      <c r="G1608" s="9">
        <f t="shared" si="875"/>
        <v>12190.417610000002</v>
      </c>
      <c r="H1608" s="9">
        <f>H1609+H1611+H1613</f>
        <v>10500.132450000001</v>
      </c>
      <c r="I1608" s="9">
        <f t="shared" si="859"/>
        <v>79.089131045873529</v>
      </c>
      <c r="J1608" s="9">
        <f t="shared" si="860"/>
        <v>79.465379187356419</v>
      </c>
    </row>
    <row r="1609" spans="1:10" ht="51">
      <c r="A1609" s="8" t="s">
        <v>60</v>
      </c>
      <c r="B1609" s="1" t="s">
        <v>1030</v>
      </c>
      <c r="C1609" s="1" t="s">
        <v>61</v>
      </c>
      <c r="D1609" s="9">
        <f>D1610</f>
        <v>38487.5</v>
      </c>
      <c r="E1609" s="9">
        <f>E1610</f>
        <v>12035.468000000001</v>
      </c>
      <c r="F1609" s="9">
        <f t="shared" ref="F1609:G1609" si="876">F1610</f>
        <v>12035.468000000001</v>
      </c>
      <c r="G1609" s="9">
        <f t="shared" si="876"/>
        <v>11014.284000000001</v>
      </c>
      <c r="H1609" s="9">
        <f>H1610</f>
        <v>9328.0929400000005</v>
      </c>
      <c r="I1609" s="9">
        <f t="shared" si="859"/>
        <v>77.505028803200673</v>
      </c>
      <c r="J1609" s="9">
        <f t="shared" si="860"/>
        <v>77.505028803200673</v>
      </c>
    </row>
    <row r="1610" spans="1:10" ht="25.5">
      <c r="A1610" s="8" t="s">
        <v>62</v>
      </c>
      <c r="B1610" s="1" t="s">
        <v>1030</v>
      </c>
      <c r="C1610" s="1" t="s">
        <v>63</v>
      </c>
      <c r="D1610" s="9">
        <f>ведомство!G2696</f>
        <v>38487.5</v>
      </c>
      <c r="E1610" s="9">
        <f>ведомство!H2696</f>
        <v>12035.468000000001</v>
      </c>
      <c r="F1610" s="9">
        <f>ведомство!I2696</f>
        <v>12035.468000000001</v>
      </c>
      <c r="G1610" s="9">
        <f>ведомство!J2696</f>
        <v>11014.284000000001</v>
      </c>
      <c r="H1610" s="9">
        <f>ведомство!K2696</f>
        <v>9328.0929400000005</v>
      </c>
      <c r="I1610" s="9">
        <f t="shared" si="859"/>
        <v>77.505028803200673</v>
      </c>
      <c r="J1610" s="9">
        <f t="shared" si="860"/>
        <v>77.505028803200673</v>
      </c>
    </row>
    <row r="1611" spans="1:10" ht="25.5">
      <c r="A1611" s="8" t="s">
        <v>64</v>
      </c>
      <c r="B1611" s="1" t="s">
        <v>1030</v>
      </c>
      <c r="C1611" s="1" t="s">
        <v>65</v>
      </c>
      <c r="D1611" s="9">
        <f>D1612</f>
        <v>1637.9</v>
      </c>
      <c r="E1611" s="9">
        <f>E1612</f>
        <v>1237.8599999999999</v>
      </c>
      <c r="F1611" s="9">
        <f t="shared" ref="F1611:G1611" si="877">F1612</f>
        <v>1175</v>
      </c>
      <c r="G1611" s="9">
        <f t="shared" si="877"/>
        <v>1175</v>
      </c>
      <c r="H1611" s="9">
        <f>H1612</f>
        <v>1170.9059</v>
      </c>
      <c r="I1611" s="9">
        <f t="shared" si="859"/>
        <v>94.591141162974807</v>
      </c>
      <c r="J1611" s="9">
        <f t="shared" si="860"/>
        <v>99.651565957446806</v>
      </c>
    </row>
    <row r="1612" spans="1:10" ht="25.5">
      <c r="A1612" s="8" t="s">
        <v>66</v>
      </c>
      <c r="B1612" s="1" t="s">
        <v>1030</v>
      </c>
      <c r="C1612" s="1" t="s">
        <v>67</v>
      </c>
      <c r="D1612" s="9">
        <f>ведомство!G2698</f>
        <v>1637.9</v>
      </c>
      <c r="E1612" s="9">
        <f>ведомство!H2698</f>
        <v>1237.8599999999999</v>
      </c>
      <c r="F1612" s="9">
        <f>ведомство!I2698</f>
        <v>1175</v>
      </c>
      <c r="G1612" s="9">
        <f>ведомство!J2698</f>
        <v>1175</v>
      </c>
      <c r="H1612" s="9">
        <f>ведомство!K2698</f>
        <v>1170.9059</v>
      </c>
      <c r="I1612" s="9">
        <f t="shared" si="859"/>
        <v>94.591141162974807</v>
      </c>
      <c r="J1612" s="9">
        <f t="shared" si="860"/>
        <v>99.651565957446806</v>
      </c>
    </row>
    <row r="1613" spans="1:10">
      <c r="A1613" s="8" t="s">
        <v>72</v>
      </c>
      <c r="B1613" s="1" t="s">
        <v>1030</v>
      </c>
      <c r="C1613" s="1" t="s">
        <v>73</v>
      </c>
      <c r="D1613" s="9">
        <f>D1614</f>
        <v>3</v>
      </c>
      <c r="E1613" s="9">
        <f>E1614</f>
        <v>3</v>
      </c>
      <c r="F1613" s="9">
        <f t="shared" ref="F1613:G1613" si="878">F1614</f>
        <v>3</v>
      </c>
      <c r="G1613" s="9">
        <f t="shared" si="878"/>
        <v>1.13361</v>
      </c>
      <c r="H1613" s="9">
        <f>H1614</f>
        <v>1.13361</v>
      </c>
      <c r="I1613" s="9">
        <f t="shared" si="859"/>
        <v>37.786999999999999</v>
      </c>
      <c r="J1613" s="9">
        <f t="shared" si="860"/>
        <v>37.786999999999999</v>
      </c>
    </row>
    <row r="1614" spans="1:10">
      <c r="A1614" s="8" t="s">
        <v>74</v>
      </c>
      <c r="B1614" s="1" t="s">
        <v>1030</v>
      </c>
      <c r="C1614" s="1" t="s">
        <v>75</v>
      </c>
      <c r="D1614" s="9">
        <f>ведомство!G2700</f>
        <v>3</v>
      </c>
      <c r="E1614" s="9">
        <f>ведомство!H2700</f>
        <v>3</v>
      </c>
      <c r="F1614" s="9">
        <f>ведомство!I2700</f>
        <v>3</v>
      </c>
      <c r="G1614" s="9">
        <f>ведомство!J2700</f>
        <v>1.13361</v>
      </c>
      <c r="H1614" s="9">
        <f>ведомство!K2700</f>
        <v>1.13361</v>
      </c>
      <c r="I1614" s="9">
        <f t="shared" si="859"/>
        <v>37.786999999999999</v>
      </c>
      <c r="J1614" s="9">
        <f t="shared" si="860"/>
        <v>37.786999999999999</v>
      </c>
    </row>
    <row r="1615" spans="1:10" ht="25.5">
      <c r="A1615" s="8" t="s">
        <v>76</v>
      </c>
      <c r="B1615" s="1" t="s">
        <v>967</v>
      </c>
      <c r="C1615" s="1" t="s">
        <v>0</v>
      </c>
      <c r="D1615" s="9">
        <f>D1616</f>
        <v>12522.4</v>
      </c>
      <c r="E1615" s="9">
        <f>E1616</f>
        <v>12522.4</v>
      </c>
      <c r="F1615" s="9">
        <f t="shared" ref="F1615:G1616" si="879">F1616</f>
        <v>9552.4</v>
      </c>
      <c r="G1615" s="9">
        <f t="shared" si="879"/>
        <v>9552.4</v>
      </c>
      <c r="H1615" s="9">
        <f>H1616</f>
        <v>9552.4</v>
      </c>
      <c r="I1615" s="9">
        <f t="shared" si="859"/>
        <v>76.282501756851715</v>
      </c>
      <c r="J1615" s="9">
        <f t="shared" si="860"/>
        <v>100</v>
      </c>
    </row>
    <row r="1616" spans="1:10" ht="25.5">
      <c r="A1616" s="8" t="s">
        <v>80</v>
      </c>
      <c r="B1616" s="1" t="s">
        <v>967</v>
      </c>
      <c r="C1616" s="1" t="s">
        <v>81</v>
      </c>
      <c r="D1616" s="9">
        <f>D1617</f>
        <v>12522.4</v>
      </c>
      <c r="E1616" s="9">
        <f>E1617</f>
        <v>12522.4</v>
      </c>
      <c r="F1616" s="9">
        <f t="shared" si="879"/>
        <v>9552.4</v>
      </c>
      <c r="G1616" s="9">
        <f t="shared" si="879"/>
        <v>9552.4</v>
      </c>
      <c r="H1616" s="9">
        <f>H1617</f>
        <v>9552.4</v>
      </c>
      <c r="I1616" s="9">
        <f t="shared" si="859"/>
        <v>76.282501756851715</v>
      </c>
      <c r="J1616" s="9">
        <f t="shared" si="860"/>
        <v>100</v>
      </c>
    </row>
    <row r="1617" spans="1:10">
      <c r="A1617" s="8" t="s">
        <v>82</v>
      </c>
      <c r="B1617" s="1" t="s">
        <v>967</v>
      </c>
      <c r="C1617" s="1" t="s">
        <v>83</v>
      </c>
      <c r="D1617" s="9">
        <f>ведомство!G2512</f>
        <v>12522.4</v>
      </c>
      <c r="E1617" s="9">
        <f>ведомство!H2512</f>
        <v>12522.4</v>
      </c>
      <c r="F1617" s="9">
        <f>ведомство!I2512</f>
        <v>9552.4</v>
      </c>
      <c r="G1617" s="9">
        <f>ведомство!J2512</f>
        <v>9552.4</v>
      </c>
      <c r="H1617" s="9">
        <f>ведомство!K2512</f>
        <v>9552.4</v>
      </c>
      <c r="I1617" s="9">
        <f t="shared" si="859"/>
        <v>76.282501756851715</v>
      </c>
      <c r="J1617" s="9">
        <f t="shared" si="860"/>
        <v>100</v>
      </c>
    </row>
    <row r="1618" spans="1:10">
      <c r="A1618" s="4" t="s">
        <v>0</v>
      </c>
      <c r="B1618" s="17" t="s">
        <v>0</v>
      </c>
      <c r="C1618" s="5" t="s">
        <v>0</v>
      </c>
      <c r="D1618" s="7" t="s">
        <v>0</v>
      </c>
      <c r="E1618" s="7" t="s">
        <v>0</v>
      </c>
      <c r="F1618" s="7" t="s">
        <v>0</v>
      </c>
      <c r="G1618" s="7" t="s">
        <v>0</v>
      </c>
      <c r="H1618" s="7" t="s">
        <v>0</v>
      </c>
      <c r="I1618" s="7"/>
      <c r="J1618" s="7"/>
    </row>
    <row r="1619" spans="1:10" ht="38.25">
      <c r="A1619" s="4" t="s">
        <v>968</v>
      </c>
      <c r="B1619" s="5" t="s">
        <v>969</v>
      </c>
      <c r="C1619" s="5" t="s">
        <v>0</v>
      </c>
      <c r="D1619" s="7">
        <f>D1620+D1623</f>
        <v>1000</v>
      </c>
      <c r="E1619" s="7">
        <f>E1620+E1623</f>
        <v>1000</v>
      </c>
      <c r="F1619" s="7">
        <f t="shared" ref="F1619:G1619" si="880">F1620+F1623</f>
        <v>1000</v>
      </c>
      <c r="G1619" s="7">
        <f t="shared" si="880"/>
        <v>999.4</v>
      </c>
      <c r="H1619" s="7">
        <f>H1620+H1623</f>
        <v>999.32665999999995</v>
      </c>
      <c r="I1619" s="7">
        <f t="shared" si="859"/>
        <v>99.932665999999998</v>
      </c>
      <c r="J1619" s="7">
        <f t="shared" si="860"/>
        <v>99.932665999999998</v>
      </c>
    </row>
    <row r="1620" spans="1:10" ht="25.5">
      <c r="A1620" s="8" t="s">
        <v>617</v>
      </c>
      <c r="B1620" s="1" t="s">
        <v>970</v>
      </c>
      <c r="C1620" s="1" t="s">
        <v>0</v>
      </c>
      <c r="D1620" s="9">
        <f>D1621</f>
        <v>779.6</v>
      </c>
      <c r="E1620" s="9">
        <f>E1621</f>
        <v>779.6</v>
      </c>
      <c r="F1620" s="9">
        <f t="shared" ref="F1620:G1621" si="881">F1621</f>
        <v>779.6</v>
      </c>
      <c r="G1620" s="9">
        <f t="shared" si="881"/>
        <v>779</v>
      </c>
      <c r="H1620" s="9">
        <f>H1621</f>
        <v>778.92665999999997</v>
      </c>
      <c r="I1620" s="9">
        <f t="shared" si="859"/>
        <v>99.913630066700861</v>
      </c>
      <c r="J1620" s="9">
        <f t="shared" si="860"/>
        <v>99.913630066700861</v>
      </c>
    </row>
    <row r="1621" spans="1:10" ht="25.5">
      <c r="A1621" s="8" t="s">
        <v>64</v>
      </c>
      <c r="B1621" s="1" t="s">
        <v>970</v>
      </c>
      <c r="C1621" s="1" t="s">
        <v>65</v>
      </c>
      <c r="D1621" s="9">
        <f>D1622</f>
        <v>779.6</v>
      </c>
      <c r="E1621" s="9">
        <f>E1622</f>
        <v>779.6</v>
      </c>
      <c r="F1621" s="9">
        <f t="shared" si="881"/>
        <v>779.6</v>
      </c>
      <c r="G1621" s="9">
        <f t="shared" si="881"/>
        <v>779</v>
      </c>
      <c r="H1621" s="9">
        <f>H1622</f>
        <v>778.92665999999997</v>
      </c>
      <c r="I1621" s="9">
        <f t="shared" si="859"/>
        <v>99.913630066700861</v>
      </c>
      <c r="J1621" s="9">
        <f t="shared" si="860"/>
        <v>99.913630066700861</v>
      </c>
    </row>
    <row r="1622" spans="1:10" ht="25.5">
      <c r="A1622" s="8" t="s">
        <v>66</v>
      </c>
      <c r="B1622" s="1" t="s">
        <v>970</v>
      </c>
      <c r="C1622" s="1" t="s">
        <v>67</v>
      </c>
      <c r="D1622" s="9">
        <f>ведомство!G2516</f>
        <v>779.6</v>
      </c>
      <c r="E1622" s="9">
        <f>ведомство!H2516</f>
        <v>779.6</v>
      </c>
      <c r="F1622" s="9">
        <f>ведомство!I2516</f>
        <v>779.6</v>
      </c>
      <c r="G1622" s="9">
        <f>ведомство!J2516</f>
        <v>779</v>
      </c>
      <c r="H1622" s="9">
        <f>ведомство!K2516</f>
        <v>778.92665999999997</v>
      </c>
      <c r="I1622" s="9">
        <f t="shared" si="859"/>
        <v>99.913630066700861</v>
      </c>
      <c r="J1622" s="9">
        <f t="shared" si="860"/>
        <v>99.913630066700861</v>
      </c>
    </row>
    <row r="1623" spans="1:10" ht="25.5">
      <c r="A1623" s="8" t="s">
        <v>748</v>
      </c>
      <c r="B1623" s="1" t="s">
        <v>971</v>
      </c>
      <c r="C1623" s="1" t="s">
        <v>0</v>
      </c>
      <c r="D1623" s="9">
        <f>D1624</f>
        <v>220.4</v>
      </c>
      <c r="E1623" s="9">
        <f>E1624</f>
        <v>220.4</v>
      </c>
      <c r="F1623" s="9">
        <f t="shared" ref="F1623:G1624" si="882">F1624</f>
        <v>220.4</v>
      </c>
      <c r="G1623" s="9">
        <f t="shared" si="882"/>
        <v>220.4</v>
      </c>
      <c r="H1623" s="9">
        <f>H1624</f>
        <v>220.4</v>
      </c>
      <c r="I1623" s="9">
        <f t="shared" si="859"/>
        <v>100</v>
      </c>
      <c r="J1623" s="9">
        <f t="shared" si="860"/>
        <v>100</v>
      </c>
    </row>
    <row r="1624" spans="1:10" ht="25.5">
      <c r="A1624" s="8" t="s">
        <v>80</v>
      </c>
      <c r="B1624" s="1" t="s">
        <v>971</v>
      </c>
      <c r="C1624" s="1" t="s">
        <v>81</v>
      </c>
      <c r="D1624" s="9">
        <f>D1625</f>
        <v>220.4</v>
      </c>
      <c r="E1624" s="9">
        <f>E1625</f>
        <v>220.4</v>
      </c>
      <c r="F1624" s="9">
        <f t="shared" si="882"/>
        <v>220.4</v>
      </c>
      <c r="G1624" s="9">
        <f t="shared" si="882"/>
        <v>220.4</v>
      </c>
      <c r="H1624" s="9">
        <f>H1625</f>
        <v>220.4</v>
      </c>
      <c r="I1624" s="9">
        <f t="shared" si="859"/>
        <v>100</v>
      </c>
      <c r="J1624" s="9">
        <f t="shared" si="860"/>
        <v>100</v>
      </c>
    </row>
    <row r="1625" spans="1:10">
      <c r="A1625" s="8" t="s">
        <v>82</v>
      </c>
      <c r="B1625" s="1" t="s">
        <v>971</v>
      </c>
      <c r="C1625" s="1" t="s">
        <v>83</v>
      </c>
      <c r="D1625" s="9">
        <f>ведомство!G2519</f>
        <v>220.4</v>
      </c>
      <c r="E1625" s="9">
        <f>ведомство!H2519</f>
        <v>220.4</v>
      </c>
      <c r="F1625" s="9">
        <f>ведомство!I2519</f>
        <v>220.4</v>
      </c>
      <c r="G1625" s="9">
        <f>ведомство!J2519</f>
        <v>220.4</v>
      </c>
      <c r="H1625" s="9">
        <f>ведомство!K2519</f>
        <v>220.4</v>
      </c>
      <c r="I1625" s="9">
        <f t="shared" si="859"/>
        <v>100</v>
      </c>
      <c r="J1625" s="9">
        <f t="shared" si="860"/>
        <v>100</v>
      </c>
    </row>
    <row r="1626" spans="1:10">
      <c r="A1626" s="4" t="s">
        <v>0</v>
      </c>
      <c r="B1626" s="17" t="s">
        <v>0</v>
      </c>
      <c r="C1626" s="5" t="s">
        <v>0</v>
      </c>
      <c r="D1626" s="7" t="s">
        <v>0</v>
      </c>
      <c r="E1626" s="7" t="s">
        <v>0</v>
      </c>
      <c r="F1626" s="7" t="s">
        <v>0</v>
      </c>
      <c r="G1626" s="7" t="s">
        <v>0</v>
      </c>
      <c r="H1626" s="7" t="s">
        <v>0</v>
      </c>
      <c r="I1626" s="7"/>
      <c r="J1626" s="7"/>
    </row>
    <row r="1627" spans="1:10" ht="38.25">
      <c r="A1627" s="34" t="s">
        <v>665</v>
      </c>
      <c r="B1627" s="5" t="s">
        <v>666</v>
      </c>
      <c r="C1627" s="5" t="s">
        <v>0</v>
      </c>
      <c r="D1627" s="7">
        <f>D1628+D1642+D1650+D1658+D1666+D1699</f>
        <v>6794947.8999999994</v>
      </c>
      <c r="E1627" s="7">
        <f>E1628+E1642+E1650+E1658+E1666+E1699</f>
        <v>6794947.832849999</v>
      </c>
      <c r="F1627" s="7">
        <f t="shared" ref="F1627:G1627" si="883">F1628+F1642+F1650+F1658+F1666+F1699</f>
        <v>4504049.9336899994</v>
      </c>
      <c r="G1627" s="7">
        <f t="shared" si="883"/>
        <v>4504049.9336899994</v>
      </c>
      <c r="H1627" s="7">
        <f>H1628+H1642+H1650+H1658+H1666+H1699</f>
        <v>4496002.9042999996</v>
      </c>
      <c r="I1627" s="7">
        <f t="shared" si="859"/>
        <v>66.166849472547682</v>
      </c>
      <c r="J1627" s="7">
        <f t="shared" si="860"/>
        <v>99.821337917907869</v>
      </c>
    </row>
    <row r="1628" spans="1:10" ht="25.5">
      <c r="A1628" s="4" t="s">
        <v>672</v>
      </c>
      <c r="B1628" s="5" t="s">
        <v>673</v>
      </c>
      <c r="C1628" s="5" t="s">
        <v>0</v>
      </c>
      <c r="D1628" s="7">
        <f>D1629+D1632+D1635+D1638</f>
        <v>484047.30000000005</v>
      </c>
      <c r="E1628" s="7">
        <f>E1629+E1632+E1635+E1638</f>
        <v>483324.03922999999</v>
      </c>
      <c r="F1628" s="7">
        <f t="shared" ref="F1628:G1628" si="884">F1629+F1632+F1635+F1638</f>
        <v>346257.39276999998</v>
      </c>
      <c r="G1628" s="7">
        <f t="shared" si="884"/>
        <v>346257.39276999998</v>
      </c>
      <c r="H1628" s="7">
        <f>H1629+H1632+H1635+H1638</f>
        <v>345135.41446</v>
      </c>
      <c r="I1628" s="7">
        <f t="shared" si="859"/>
        <v>71.408700260356795</v>
      </c>
      <c r="J1628" s="7">
        <f t="shared" si="860"/>
        <v>99.675969861314911</v>
      </c>
    </row>
    <row r="1629" spans="1:10" ht="51">
      <c r="A1629" s="8" t="s">
        <v>674</v>
      </c>
      <c r="B1629" s="1" t="s">
        <v>675</v>
      </c>
      <c r="C1629" s="1" t="s">
        <v>0</v>
      </c>
      <c r="D1629" s="9">
        <f>D1630</f>
        <v>80899.899999999994</v>
      </c>
      <c r="E1629" s="9">
        <f>E1630</f>
        <v>80899.899999999994</v>
      </c>
      <c r="F1629" s="9">
        <f t="shared" ref="F1629:G1630" si="885">F1630</f>
        <v>53693.048999999999</v>
      </c>
      <c r="G1629" s="9">
        <f t="shared" si="885"/>
        <v>53693.048999999999</v>
      </c>
      <c r="H1629" s="9">
        <f>H1630</f>
        <v>53693.048999999999</v>
      </c>
      <c r="I1629" s="9">
        <f t="shared" si="859"/>
        <v>66.369734696829056</v>
      </c>
      <c r="J1629" s="9">
        <f t="shared" si="860"/>
        <v>100</v>
      </c>
    </row>
    <row r="1630" spans="1:10">
      <c r="A1630" s="8" t="s">
        <v>72</v>
      </c>
      <c r="B1630" s="1" t="s">
        <v>675</v>
      </c>
      <c r="C1630" s="1" t="s">
        <v>73</v>
      </c>
      <c r="D1630" s="9">
        <f>D1631</f>
        <v>80899.899999999994</v>
      </c>
      <c r="E1630" s="9">
        <f>E1631</f>
        <v>80899.899999999994</v>
      </c>
      <c r="F1630" s="9">
        <f t="shared" si="885"/>
        <v>53693.048999999999</v>
      </c>
      <c r="G1630" s="9">
        <f t="shared" si="885"/>
        <v>53693.048999999999</v>
      </c>
      <c r="H1630" s="9">
        <f>H1631</f>
        <v>53693.048999999999</v>
      </c>
      <c r="I1630" s="9">
        <f t="shared" si="859"/>
        <v>66.369734696829056</v>
      </c>
      <c r="J1630" s="9">
        <f t="shared" si="860"/>
        <v>100</v>
      </c>
    </row>
    <row r="1631" spans="1:10" ht="38.25">
      <c r="A1631" s="8" t="s">
        <v>218</v>
      </c>
      <c r="B1631" s="1" t="s">
        <v>675</v>
      </c>
      <c r="C1631" s="1" t="s">
        <v>219</v>
      </c>
      <c r="D1631" s="9">
        <f>ведомство!G1638</f>
        <v>80899.899999999994</v>
      </c>
      <c r="E1631" s="9">
        <f>ведомство!H1638</f>
        <v>80899.899999999994</v>
      </c>
      <c r="F1631" s="9">
        <f>ведомство!I1638</f>
        <v>53693.048999999999</v>
      </c>
      <c r="G1631" s="9">
        <f>ведомство!J1638</f>
        <v>53693.048999999999</v>
      </c>
      <c r="H1631" s="9">
        <f>ведомство!K1638</f>
        <v>53693.048999999999</v>
      </c>
      <c r="I1631" s="9">
        <f t="shared" si="859"/>
        <v>66.369734696829056</v>
      </c>
      <c r="J1631" s="9">
        <f t="shared" si="860"/>
        <v>100</v>
      </c>
    </row>
    <row r="1632" spans="1:10" ht="51">
      <c r="A1632" s="8" t="s">
        <v>676</v>
      </c>
      <c r="B1632" s="1" t="s">
        <v>677</v>
      </c>
      <c r="C1632" s="1" t="s">
        <v>0</v>
      </c>
      <c r="D1632" s="9">
        <f>D1633</f>
        <v>99183.5</v>
      </c>
      <c r="E1632" s="9">
        <f>E1633</f>
        <v>98460.239230000007</v>
      </c>
      <c r="F1632" s="9">
        <f t="shared" ref="F1632:G1633" si="886">F1633</f>
        <v>62684.536169999999</v>
      </c>
      <c r="G1632" s="9">
        <f t="shared" si="886"/>
        <v>62684.536169999999</v>
      </c>
      <c r="H1632" s="9">
        <f>H1633</f>
        <v>61562.557860000001</v>
      </c>
      <c r="I1632" s="9">
        <f t="shared" si="859"/>
        <v>62.525297867895503</v>
      </c>
      <c r="J1632" s="9">
        <f t="shared" si="860"/>
        <v>98.210119467172575</v>
      </c>
    </row>
    <row r="1633" spans="1:10">
      <c r="A1633" s="8" t="s">
        <v>72</v>
      </c>
      <c r="B1633" s="1" t="s">
        <v>677</v>
      </c>
      <c r="C1633" s="1" t="s">
        <v>73</v>
      </c>
      <c r="D1633" s="9">
        <f>D1634</f>
        <v>99183.5</v>
      </c>
      <c r="E1633" s="9">
        <f>E1634</f>
        <v>98460.239230000007</v>
      </c>
      <c r="F1633" s="9">
        <f t="shared" si="886"/>
        <v>62684.536169999999</v>
      </c>
      <c r="G1633" s="9">
        <f t="shared" si="886"/>
        <v>62684.536169999999</v>
      </c>
      <c r="H1633" s="9">
        <f>H1634</f>
        <v>61562.557860000001</v>
      </c>
      <c r="I1633" s="9">
        <f t="shared" si="859"/>
        <v>62.525297867895503</v>
      </c>
      <c r="J1633" s="9">
        <f t="shared" si="860"/>
        <v>98.210119467172575</v>
      </c>
    </row>
    <row r="1634" spans="1:10" ht="38.25">
      <c r="A1634" s="8" t="s">
        <v>218</v>
      </c>
      <c r="B1634" s="1" t="s">
        <v>677</v>
      </c>
      <c r="C1634" s="1" t="s">
        <v>219</v>
      </c>
      <c r="D1634" s="9">
        <f>ведомство!G1641</f>
        <v>99183.5</v>
      </c>
      <c r="E1634" s="9">
        <f>ведомство!H1641</f>
        <v>98460.239230000007</v>
      </c>
      <c r="F1634" s="9">
        <f>ведомство!I1641</f>
        <v>62684.536169999999</v>
      </c>
      <c r="G1634" s="9">
        <f>ведомство!J1641</f>
        <v>62684.536169999999</v>
      </c>
      <c r="H1634" s="9">
        <f>ведомство!K1641</f>
        <v>61562.557860000001</v>
      </c>
      <c r="I1634" s="9">
        <f t="shared" si="859"/>
        <v>62.525297867895503</v>
      </c>
      <c r="J1634" s="9">
        <f t="shared" si="860"/>
        <v>98.210119467172575</v>
      </c>
    </row>
    <row r="1635" spans="1:10" ht="63.75">
      <c r="A1635" s="8" t="s">
        <v>678</v>
      </c>
      <c r="B1635" s="1" t="s">
        <v>679</v>
      </c>
      <c r="C1635" s="1" t="s">
        <v>0</v>
      </c>
      <c r="D1635" s="9">
        <f>D1636</f>
        <v>298069</v>
      </c>
      <c r="E1635" s="9">
        <f>E1636</f>
        <v>298069</v>
      </c>
      <c r="F1635" s="9">
        <f t="shared" ref="F1635:G1636" si="887">F1636</f>
        <v>226186.13269999999</v>
      </c>
      <c r="G1635" s="9">
        <f t="shared" si="887"/>
        <v>226186.13269999999</v>
      </c>
      <c r="H1635" s="9">
        <f>H1636</f>
        <v>226186.13269999999</v>
      </c>
      <c r="I1635" s="9">
        <f t="shared" si="859"/>
        <v>75.883816398216524</v>
      </c>
      <c r="J1635" s="9">
        <f t="shared" si="860"/>
        <v>100</v>
      </c>
    </row>
    <row r="1636" spans="1:10">
      <c r="A1636" s="8" t="s">
        <v>72</v>
      </c>
      <c r="B1636" s="1" t="s">
        <v>679</v>
      </c>
      <c r="C1636" s="1" t="s">
        <v>73</v>
      </c>
      <c r="D1636" s="9">
        <f>D1637</f>
        <v>298069</v>
      </c>
      <c r="E1636" s="9">
        <f>E1637</f>
        <v>298069</v>
      </c>
      <c r="F1636" s="9">
        <f t="shared" si="887"/>
        <v>226186.13269999999</v>
      </c>
      <c r="G1636" s="9">
        <f t="shared" si="887"/>
        <v>226186.13269999999</v>
      </c>
      <c r="H1636" s="9">
        <f>H1637</f>
        <v>226186.13269999999</v>
      </c>
      <c r="I1636" s="9">
        <f t="shared" si="859"/>
        <v>75.883816398216524</v>
      </c>
      <c r="J1636" s="9">
        <f t="shared" si="860"/>
        <v>100</v>
      </c>
    </row>
    <row r="1637" spans="1:10" ht="38.25">
      <c r="A1637" s="8" t="s">
        <v>218</v>
      </c>
      <c r="B1637" s="1" t="s">
        <v>679</v>
      </c>
      <c r="C1637" s="1" t="s">
        <v>219</v>
      </c>
      <c r="D1637" s="9">
        <f>ведомство!G1644</f>
        <v>298069</v>
      </c>
      <c r="E1637" s="9">
        <f>ведомство!H1644</f>
        <v>298069</v>
      </c>
      <c r="F1637" s="9">
        <f>ведомство!I1644</f>
        <v>226186.13269999999</v>
      </c>
      <c r="G1637" s="9">
        <f>ведомство!J1644</f>
        <v>226186.13269999999</v>
      </c>
      <c r="H1637" s="9">
        <f>ведомство!K1644</f>
        <v>226186.13269999999</v>
      </c>
      <c r="I1637" s="9">
        <f t="shared" si="859"/>
        <v>75.883816398216524</v>
      </c>
      <c r="J1637" s="9">
        <f t="shared" si="860"/>
        <v>100</v>
      </c>
    </row>
    <row r="1638" spans="1:10" ht="102">
      <c r="A1638" s="8" t="s">
        <v>680</v>
      </c>
      <c r="B1638" s="1" t="s">
        <v>681</v>
      </c>
      <c r="C1638" s="1" t="s">
        <v>0</v>
      </c>
      <c r="D1638" s="9">
        <f>D1639</f>
        <v>5894.9</v>
      </c>
      <c r="E1638" s="9">
        <f>E1639</f>
        <v>5894.9</v>
      </c>
      <c r="F1638" s="9">
        <f t="shared" ref="F1638:G1639" si="888">F1639</f>
        <v>3693.6749</v>
      </c>
      <c r="G1638" s="9">
        <f t="shared" si="888"/>
        <v>3693.6749</v>
      </c>
      <c r="H1638" s="9">
        <f>H1639</f>
        <v>3693.6749</v>
      </c>
      <c r="I1638" s="9">
        <f t="shared" si="859"/>
        <v>62.658822032604455</v>
      </c>
      <c r="J1638" s="9">
        <f t="shared" si="860"/>
        <v>100</v>
      </c>
    </row>
    <row r="1639" spans="1:10">
      <c r="A1639" s="8" t="s">
        <v>72</v>
      </c>
      <c r="B1639" s="1" t="s">
        <v>681</v>
      </c>
      <c r="C1639" s="1" t="s">
        <v>73</v>
      </c>
      <c r="D1639" s="9">
        <f>D1640</f>
        <v>5894.9</v>
      </c>
      <c r="E1639" s="9">
        <f>E1640</f>
        <v>5894.9</v>
      </c>
      <c r="F1639" s="9">
        <f t="shared" si="888"/>
        <v>3693.6749</v>
      </c>
      <c r="G1639" s="9">
        <f t="shared" si="888"/>
        <v>3693.6749</v>
      </c>
      <c r="H1639" s="9">
        <f>H1640</f>
        <v>3693.6749</v>
      </c>
      <c r="I1639" s="9">
        <f t="shared" ref="I1639:I1718" si="889">H1639/E1639*100</f>
        <v>62.658822032604455</v>
      </c>
      <c r="J1639" s="9">
        <f t="shared" ref="J1639:J1718" si="890">H1639/F1639*100</f>
        <v>100</v>
      </c>
    </row>
    <row r="1640" spans="1:10" ht="38.25">
      <c r="A1640" s="8" t="s">
        <v>218</v>
      </c>
      <c r="B1640" s="1" t="s">
        <v>681</v>
      </c>
      <c r="C1640" s="1" t="s">
        <v>219</v>
      </c>
      <c r="D1640" s="9">
        <f>ведомство!G1647</f>
        <v>5894.9</v>
      </c>
      <c r="E1640" s="9">
        <f>ведомство!H1647</f>
        <v>5894.9</v>
      </c>
      <c r="F1640" s="9">
        <f>ведомство!I1647</f>
        <v>3693.6749</v>
      </c>
      <c r="G1640" s="9">
        <f>ведомство!J1647</f>
        <v>3693.6749</v>
      </c>
      <c r="H1640" s="9">
        <f>ведомство!K1647</f>
        <v>3693.6749</v>
      </c>
      <c r="I1640" s="9">
        <f t="shared" si="889"/>
        <v>62.658822032604455</v>
      </c>
      <c r="J1640" s="9">
        <f t="shared" si="890"/>
        <v>100</v>
      </c>
    </row>
    <row r="1641" spans="1:10">
      <c r="A1641" s="4" t="s">
        <v>0</v>
      </c>
      <c r="B1641" s="17" t="s">
        <v>0</v>
      </c>
      <c r="C1641" s="5" t="s">
        <v>0</v>
      </c>
      <c r="D1641" s="7" t="s">
        <v>0</v>
      </c>
      <c r="E1641" s="7" t="s">
        <v>0</v>
      </c>
      <c r="F1641" s="7" t="s">
        <v>0</v>
      </c>
      <c r="G1641" s="7" t="s">
        <v>0</v>
      </c>
      <c r="H1641" s="7" t="s">
        <v>0</v>
      </c>
      <c r="I1641" s="7"/>
      <c r="J1641" s="7"/>
    </row>
    <row r="1642" spans="1:10" ht="38.25">
      <c r="A1642" s="4" t="s">
        <v>682</v>
      </c>
      <c r="B1642" s="5" t="s">
        <v>683</v>
      </c>
      <c r="C1642" s="5" t="s">
        <v>0</v>
      </c>
      <c r="D1642" s="7">
        <f>D1643+D1646</f>
        <v>436501.6</v>
      </c>
      <c r="E1642" s="7">
        <f>E1643+E1646</f>
        <v>436501.6</v>
      </c>
      <c r="F1642" s="7">
        <f t="shared" ref="F1642:G1642" si="891">F1643+F1646</f>
        <v>237601.6</v>
      </c>
      <c r="G1642" s="7">
        <f t="shared" si="891"/>
        <v>237601.6</v>
      </c>
      <c r="H1642" s="7">
        <f>H1643+H1646</f>
        <v>237601.6</v>
      </c>
      <c r="I1642" s="7">
        <f t="shared" si="889"/>
        <v>54.433156716951324</v>
      </c>
      <c r="J1642" s="7">
        <f t="shared" si="890"/>
        <v>100</v>
      </c>
    </row>
    <row r="1643" spans="1:10" s="42" customFormat="1" ht="76.5">
      <c r="A1643" s="8" t="s">
        <v>1176</v>
      </c>
      <c r="B1643" s="24" t="s">
        <v>1175</v>
      </c>
      <c r="C1643" s="6"/>
      <c r="D1643" s="22">
        <f>D1644</f>
        <v>100000</v>
      </c>
      <c r="E1643" s="22">
        <f>E1644</f>
        <v>100000</v>
      </c>
      <c r="F1643" s="22">
        <f t="shared" ref="F1643:G1644" si="892">F1644</f>
        <v>100000</v>
      </c>
      <c r="G1643" s="22">
        <f t="shared" si="892"/>
        <v>100000</v>
      </c>
      <c r="H1643" s="22">
        <f>H1644</f>
        <v>100000</v>
      </c>
      <c r="I1643" s="9">
        <f t="shared" ref="I1643:I1645" si="893">H1643/E1643*100</f>
        <v>100</v>
      </c>
      <c r="J1643" s="9">
        <f t="shared" si="890"/>
        <v>100</v>
      </c>
    </row>
    <row r="1644" spans="1:10" s="42" customFormat="1">
      <c r="A1644" s="8" t="s">
        <v>26</v>
      </c>
      <c r="B1644" s="24" t="s">
        <v>1175</v>
      </c>
      <c r="C1644" s="6">
        <v>500</v>
      </c>
      <c r="D1644" s="22">
        <f>D1645</f>
        <v>100000</v>
      </c>
      <c r="E1644" s="22">
        <f>E1645</f>
        <v>100000</v>
      </c>
      <c r="F1644" s="22">
        <f t="shared" si="892"/>
        <v>100000</v>
      </c>
      <c r="G1644" s="22">
        <f t="shared" si="892"/>
        <v>100000</v>
      </c>
      <c r="H1644" s="22">
        <f>H1645</f>
        <v>100000</v>
      </c>
      <c r="I1644" s="9">
        <f t="shared" si="893"/>
        <v>100</v>
      </c>
      <c r="J1644" s="9">
        <f t="shared" si="890"/>
        <v>100</v>
      </c>
    </row>
    <row r="1645" spans="1:10" s="42" customFormat="1">
      <c r="A1645" s="25" t="s">
        <v>352</v>
      </c>
      <c r="B1645" s="24" t="s">
        <v>1175</v>
      </c>
      <c r="C1645" s="6">
        <v>540</v>
      </c>
      <c r="D1645" s="22">
        <f>ведомство!G1671</f>
        <v>100000</v>
      </c>
      <c r="E1645" s="22">
        <f>ведомство!H1671</f>
        <v>100000</v>
      </c>
      <c r="F1645" s="22">
        <f>ведомство!I1671</f>
        <v>100000</v>
      </c>
      <c r="G1645" s="22">
        <f>ведомство!J1671</f>
        <v>100000</v>
      </c>
      <c r="H1645" s="22">
        <f>ведомство!K1671</f>
        <v>100000</v>
      </c>
      <c r="I1645" s="9">
        <f t="shared" si="893"/>
        <v>100</v>
      </c>
      <c r="J1645" s="9">
        <f t="shared" si="890"/>
        <v>100</v>
      </c>
    </row>
    <row r="1646" spans="1:10" ht="25.5">
      <c r="A1646" s="8" t="s">
        <v>684</v>
      </c>
      <c r="B1646" s="1" t="s">
        <v>685</v>
      </c>
      <c r="C1646" s="1" t="s">
        <v>0</v>
      </c>
      <c r="D1646" s="9">
        <f>D1647</f>
        <v>336501.6</v>
      </c>
      <c r="E1646" s="9">
        <f>E1647</f>
        <v>336501.6</v>
      </c>
      <c r="F1646" s="9">
        <f t="shared" ref="F1646:G1647" si="894">F1647</f>
        <v>137601.60000000001</v>
      </c>
      <c r="G1646" s="9">
        <f t="shared" si="894"/>
        <v>137601.60000000001</v>
      </c>
      <c r="H1646" s="9">
        <f>H1647</f>
        <v>137601.60000000001</v>
      </c>
      <c r="I1646" s="9">
        <f t="shared" si="889"/>
        <v>40.891811509960135</v>
      </c>
      <c r="J1646" s="9">
        <f t="shared" si="890"/>
        <v>100</v>
      </c>
    </row>
    <row r="1647" spans="1:10">
      <c r="A1647" s="8" t="s">
        <v>26</v>
      </c>
      <c r="B1647" s="1" t="s">
        <v>685</v>
      </c>
      <c r="C1647" s="1" t="s">
        <v>27</v>
      </c>
      <c r="D1647" s="9">
        <f>D1648</f>
        <v>336501.6</v>
      </c>
      <c r="E1647" s="9">
        <f>E1648</f>
        <v>336501.6</v>
      </c>
      <c r="F1647" s="9">
        <f t="shared" si="894"/>
        <v>137601.60000000001</v>
      </c>
      <c r="G1647" s="9">
        <f t="shared" si="894"/>
        <v>137601.60000000001</v>
      </c>
      <c r="H1647" s="9">
        <f>H1648</f>
        <v>137601.60000000001</v>
      </c>
      <c r="I1647" s="9">
        <f t="shared" si="889"/>
        <v>40.891811509960135</v>
      </c>
      <c r="J1647" s="9">
        <f t="shared" si="890"/>
        <v>100</v>
      </c>
    </row>
    <row r="1648" spans="1:10">
      <c r="A1648" s="8" t="s">
        <v>56</v>
      </c>
      <c r="B1648" s="1" t="s">
        <v>685</v>
      </c>
      <c r="C1648" s="1" t="s">
        <v>57</v>
      </c>
      <c r="D1648" s="9">
        <f>ведомство!G1674+ведомство!G1651</f>
        <v>336501.6</v>
      </c>
      <c r="E1648" s="9">
        <f>ведомство!H1674+ведомство!H1651</f>
        <v>336501.6</v>
      </c>
      <c r="F1648" s="9">
        <f>ведомство!I1674+ведомство!I1651</f>
        <v>137601.60000000001</v>
      </c>
      <c r="G1648" s="9">
        <f>ведомство!J1674+ведомство!J1651</f>
        <v>137601.60000000001</v>
      </c>
      <c r="H1648" s="9">
        <f>ведомство!K1674+ведомство!K1651</f>
        <v>137601.60000000001</v>
      </c>
      <c r="I1648" s="9">
        <f t="shared" si="889"/>
        <v>40.891811509960135</v>
      </c>
      <c r="J1648" s="9">
        <f t="shared" si="890"/>
        <v>100</v>
      </c>
    </row>
    <row r="1649" spans="1:10">
      <c r="A1649" s="4" t="s">
        <v>0</v>
      </c>
      <c r="B1649" s="17" t="s">
        <v>0</v>
      </c>
      <c r="C1649" s="5" t="s">
        <v>0</v>
      </c>
      <c r="D1649" s="7" t="s">
        <v>0</v>
      </c>
      <c r="E1649" s="7" t="s">
        <v>0</v>
      </c>
      <c r="F1649" s="7" t="s">
        <v>0</v>
      </c>
      <c r="G1649" s="7" t="s">
        <v>0</v>
      </c>
      <c r="H1649" s="7" t="s">
        <v>0</v>
      </c>
      <c r="I1649" s="7"/>
      <c r="J1649" s="7"/>
    </row>
    <row r="1650" spans="1:10" ht="38.25">
      <c r="A1650" s="4" t="s">
        <v>687</v>
      </c>
      <c r="B1650" s="5" t="s">
        <v>688</v>
      </c>
      <c r="C1650" s="5" t="s">
        <v>0</v>
      </c>
      <c r="D1650" s="7">
        <f>D1651+D1654</f>
        <v>1184751.2</v>
      </c>
      <c r="E1650" s="7">
        <f>E1651+E1654</f>
        <v>1184751.1499999999</v>
      </c>
      <c r="F1650" s="7">
        <f t="shared" ref="F1650:G1650" si="895">F1651+F1654</f>
        <v>822225.15815999999</v>
      </c>
      <c r="G1650" s="7">
        <f t="shared" si="895"/>
        <v>822225.15815999999</v>
      </c>
      <c r="H1650" s="7">
        <f>H1651+H1654</f>
        <v>822225.13647999999</v>
      </c>
      <c r="I1650" s="7">
        <f t="shared" si="889"/>
        <v>69.400661605603858</v>
      </c>
      <c r="J1650" s="7">
        <f t="shared" si="890"/>
        <v>99.99999736325266</v>
      </c>
    </row>
    <row r="1651" spans="1:10" s="42" customFormat="1" ht="76.5">
      <c r="A1651" s="8" t="s">
        <v>1176</v>
      </c>
      <c r="B1651" s="24" t="s">
        <v>1177</v>
      </c>
      <c r="C1651" s="6"/>
      <c r="D1651" s="22">
        <f>D1652</f>
        <v>949591.5</v>
      </c>
      <c r="E1651" s="22">
        <f>E1652</f>
        <v>949591.45</v>
      </c>
      <c r="F1651" s="22">
        <f t="shared" ref="F1651:G1652" si="896">F1652</f>
        <v>718456.28799999994</v>
      </c>
      <c r="G1651" s="22">
        <f t="shared" si="896"/>
        <v>718456.28799999994</v>
      </c>
      <c r="H1651" s="22">
        <f>H1652</f>
        <v>718456.28799999994</v>
      </c>
      <c r="I1651" s="9">
        <f t="shared" ref="I1651:I1653" si="897">H1651/E1651*100</f>
        <v>75.659515257851155</v>
      </c>
      <c r="J1651" s="9">
        <f t="shared" ref="J1651:J1653" si="898">H1651/F1651*100</f>
        <v>100</v>
      </c>
    </row>
    <row r="1652" spans="1:10" s="42" customFormat="1" ht="25.5">
      <c r="A1652" s="8" t="s">
        <v>39</v>
      </c>
      <c r="B1652" s="24" t="s">
        <v>1177</v>
      </c>
      <c r="C1652" s="1">
        <v>400</v>
      </c>
      <c r="D1652" s="22">
        <f>D1653</f>
        <v>949591.5</v>
      </c>
      <c r="E1652" s="22">
        <f>E1653</f>
        <v>949591.45</v>
      </c>
      <c r="F1652" s="22">
        <f t="shared" si="896"/>
        <v>718456.28799999994</v>
      </c>
      <c r="G1652" s="22">
        <f t="shared" si="896"/>
        <v>718456.28799999994</v>
      </c>
      <c r="H1652" s="22">
        <f>H1653</f>
        <v>718456.28799999994</v>
      </c>
      <c r="I1652" s="9">
        <f t="shared" si="897"/>
        <v>75.659515257851155</v>
      </c>
      <c r="J1652" s="9">
        <f t="shared" si="898"/>
        <v>100</v>
      </c>
    </row>
    <row r="1653" spans="1:10" s="42" customFormat="1">
      <c r="A1653" s="8" t="s">
        <v>41</v>
      </c>
      <c r="B1653" s="24" t="s">
        <v>1177</v>
      </c>
      <c r="C1653" s="6">
        <v>410</v>
      </c>
      <c r="D1653" s="22">
        <f>ведомство!G1678</f>
        <v>949591.5</v>
      </c>
      <c r="E1653" s="22">
        <f>ведомство!H1678</f>
        <v>949591.45</v>
      </c>
      <c r="F1653" s="22">
        <f>ведомство!I1678</f>
        <v>718456.28799999994</v>
      </c>
      <c r="G1653" s="22">
        <f>ведомство!J1678</f>
        <v>718456.28799999994</v>
      </c>
      <c r="H1653" s="22">
        <f>ведомство!K1678</f>
        <v>718456.28799999994</v>
      </c>
      <c r="I1653" s="9">
        <f t="shared" si="897"/>
        <v>75.659515257851155</v>
      </c>
      <c r="J1653" s="9">
        <f t="shared" si="898"/>
        <v>100</v>
      </c>
    </row>
    <row r="1654" spans="1:10" ht="38.25">
      <c r="A1654" s="8" t="s">
        <v>37</v>
      </c>
      <c r="B1654" s="1" t="s">
        <v>689</v>
      </c>
      <c r="C1654" s="1" t="s">
        <v>0</v>
      </c>
      <c r="D1654" s="9">
        <f>D1655</f>
        <v>235159.7</v>
      </c>
      <c r="E1654" s="9">
        <f>E1655</f>
        <v>235159.7</v>
      </c>
      <c r="F1654" s="9">
        <f t="shared" ref="F1654:G1655" si="899">F1655</f>
        <v>103768.87016000001</v>
      </c>
      <c r="G1654" s="9">
        <f t="shared" si="899"/>
        <v>103768.87016000001</v>
      </c>
      <c r="H1654" s="9">
        <f>H1655</f>
        <v>103768.84848</v>
      </c>
      <c r="I1654" s="9">
        <f t="shared" si="889"/>
        <v>44.126969238351634</v>
      </c>
      <c r="J1654" s="9">
        <f t="shared" si="890"/>
        <v>99.999979107414418</v>
      </c>
    </row>
    <row r="1655" spans="1:10" ht="25.5">
      <c r="A1655" s="8" t="s">
        <v>39</v>
      </c>
      <c r="B1655" s="1" t="s">
        <v>689</v>
      </c>
      <c r="C1655" s="1" t="s">
        <v>40</v>
      </c>
      <c r="D1655" s="9">
        <f>D1656</f>
        <v>235159.7</v>
      </c>
      <c r="E1655" s="9">
        <f>E1656</f>
        <v>235159.7</v>
      </c>
      <c r="F1655" s="9">
        <f t="shared" si="899"/>
        <v>103768.87016000001</v>
      </c>
      <c r="G1655" s="9">
        <f t="shared" si="899"/>
        <v>103768.87016000001</v>
      </c>
      <c r="H1655" s="9">
        <f>H1656</f>
        <v>103768.84848</v>
      </c>
      <c r="I1655" s="9">
        <f t="shared" si="889"/>
        <v>44.126969238351634</v>
      </c>
      <c r="J1655" s="9">
        <f t="shared" si="890"/>
        <v>99.999979107414418</v>
      </c>
    </row>
    <row r="1656" spans="1:10">
      <c r="A1656" s="8" t="s">
        <v>41</v>
      </c>
      <c r="B1656" s="1" t="s">
        <v>689</v>
      </c>
      <c r="C1656" s="1" t="s">
        <v>42</v>
      </c>
      <c r="D1656" s="9">
        <f>ведомство!G1681</f>
        <v>235159.7</v>
      </c>
      <c r="E1656" s="9">
        <f>ведомство!H1681</f>
        <v>235159.7</v>
      </c>
      <c r="F1656" s="9">
        <f>ведомство!I1681</f>
        <v>103768.87016000001</v>
      </c>
      <c r="G1656" s="9">
        <f>ведомство!J1681</f>
        <v>103768.87016000001</v>
      </c>
      <c r="H1656" s="9">
        <f>ведомство!K1681</f>
        <v>103768.84848</v>
      </c>
      <c r="I1656" s="9">
        <f t="shared" si="889"/>
        <v>44.126969238351634</v>
      </c>
      <c r="J1656" s="9">
        <f t="shared" si="890"/>
        <v>99.999979107414418</v>
      </c>
    </row>
    <row r="1657" spans="1:10">
      <c r="A1657" s="4" t="s">
        <v>0</v>
      </c>
      <c r="B1657" s="17" t="s">
        <v>0</v>
      </c>
      <c r="C1657" s="5" t="s">
        <v>0</v>
      </c>
      <c r="D1657" s="7" t="s">
        <v>0</v>
      </c>
      <c r="E1657" s="7" t="s">
        <v>0</v>
      </c>
      <c r="F1657" s="7" t="s">
        <v>0</v>
      </c>
      <c r="G1657" s="7" t="s">
        <v>0</v>
      </c>
      <c r="H1657" s="7" t="s">
        <v>0</v>
      </c>
      <c r="I1657" s="7"/>
      <c r="J1657" s="7"/>
    </row>
    <row r="1658" spans="1:10" ht="38.25">
      <c r="A1658" s="4" t="s">
        <v>690</v>
      </c>
      <c r="B1658" s="5" t="s">
        <v>691</v>
      </c>
      <c r="C1658" s="5" t="s">
        <v>0</v>
      </c>
      <c r="D1658" s="7">
        <f>D1659+D1662</f>
        <v>4010459.4</v>
      </c>
      <c r="E1658" s="7">
        <f>E1659+E1662</f>
        <v>4010459.38</v>
      </c>
      <c r="F1658" s="7">
        <f t="shared" ref="F1658:G1658" si="900">F1659+F1662</f>
        <v>2597390.5076099997</v>
      </c>
      <c r="G1658" s="7">
        <f t="shared" si="900"/>
        <v>2597390.5076099997</v>
      </c>
      <c r="H1658" s="7">
        <f>H1659+H1662</f>
        <v>2597327.70633</v>
      </c>
      <c r="I1658" s="7">
        <f t="shared" si="889"/>
        <v>64.763845241339908</v>
      </c>
      <c r="J1658" s="7">
        <f t="shared" si="890"/>
        <v>99.997582139465905</v>
      </c>
    </row>
    <row r="1659" spans="1:10" s="42" customFormat="1" ht="76.5">
      <c r="A1659" s="8" t="s">
        <v>1176</v>
      </c>
      <c r="B1659" s="24" t="s">
        <v>1178</v>
      </c>
      <c r="C1659" s="6"/>
      <c r="D1659" s="22">
        <f>D1660</f>
        <v>462833.4</v>
      </c>
      <c r="E1659" s="22">
        <f>E1660</f>
        <v>462833.4</v>
      </c>
      <c r="F1659" s="22">
        <f t="shared" ref="F1659:G1660" si="901">F1660</f>
        <v>303565.55599999998</v>
      </c>
      <c r="G1659" s="22">
        <f t="shared" si="901"/>
        <v>303565.55599999998</v>
      </c>
      <c r="H1659" s="22">
        <f>H1660</f>
        <v>303565.55599999998</v>
      </c>
      <c r="I1659" s="9">
        <f t="shared" ref="I1659:I1661" si="902">H1659/E1659*100</f>
        <v>65.588515435575729</v>
      </c>
      <c r="J1659" s="9">
        <f t="shared" si="890"/>
        <v>100</v>
      </c>
    </row>
    <row r="1660" spans="1:10" s="42" customFormat="1" ht="25.5">
      <c r="A1660" s="8" t="s">
        <v>64</v>
      </c>
      <c r="B1660" s="24" t="s">
        <v>1178</v>
      </c>
      <c r="C1660" s="1">
        <v>200</v>
      </c>
      <c r="D1660" s="22">
        <f>D1661</f>
        <v>462833.4</v>
      </c>
      <c r="E1660" s="22">
        <f>E1661</f>
        <v>462833.4</v>
      </c>
      <c r="F1660" s="22">
        <f t="shared" si="901"/>
        <v>303565.55599999998</v>
      </c>
      <c r="G1660" s="22">
        <f t="shared" si="901"/>
        <v>303565.55599999998</v>
      </c>
      <c r="H1660" s="22">
        <f>H1661</f>
        <v>303565.55599999998</v>
      </c>
      <c r="I1660" s="9">
        <f t="shared" si="902"/>
        <v>65.588515435575729</v>
      </c>
      <c r="J1660" s="9">
        <f t="shared" si="890"/>
        <v>100</v>
      </c>
    </row>
    <row r="1661" spans="1:10" s="42" customFormat="1" ht="25.5">
      <c r="A1661" s="8" t="s">
        <v>66</v>
      </c>
      <c r="B1661" s="24" t="s">
        <v>1178</v>
      </c>
      <c r="C1661" s="1">
        <v>240</v>
      </c>
      <c r="D1661" s="22">
        <f>ведомство!G1685</f>
        <v>462833.4</v>
      </c>
      <c r="E1661" s="22">
        <f>ведомство!H1685</f>
        <v>462833.4</v>
      </c>
      <c r="F1661" s="22">
        <f>ведомство!I1685</f>
        <v>303565.55599999998</v>
      </c>
      <c r="G1661" s="22">
        <f>ведомство!J1685</f>
        <v>303565.55599999998</v>
      </c>
      <c r="H1661" s="22">
        <f>ведомство!K1685</f>
        <v>303565.55599999998</v>
      </c>
      <c r="I1661" s="9">
        <f t="shared" si="902"/>
        <v>65.588515435575729</v>
      </c>
      <c r="J1661" s="9">
        <f t="shared" si="890"/>
        <v>100</v>
      </c>
    </row>
    <row r="1662" spans="1:10" ht="25.5">
      <c r="A1662" s="8" t="s">
        <v>692</v>
      </c>
      <c r="B1662" s="1" t="s">
        <v>693</v>
      </c>
      <c r="C1662" s="1" t="s">
        <v>0</v>
      </c>
      <c r="D1662" s="9">
        <f>D1663</f>
        <v>3547626</v>
      </c>
      <c r="E1662" s="9">
        <f>E1663</f>
        <v>3547625.98</v>
      </c>
      <c r="F1662" s="9">
        <f t="shared" ref="F1662:G1663" si="903">F1663</f>
        <v>2293824.9516099999</v>
      </c>
      <c r="G1662" s="9">
        <f t="shared" si="903"/>
        <v>2293824.9516099999</v>
      </c>
      <c r="H1662" s="9">
        <f>H1663</f>
        <v>2293762.1503300001</v>
      </c>
      <c r="I1662" s="9">
        <f t="shared" si="889"/>
        <v>64.656256416579751</v>
      </c>
      <c r="J1662" s="9">
        <f t="shared" si="890"/>
        <v>99.997262158999717</v>
      </c>
    </row>
    <row r="1663" spans="1:10" ht="25.5">
      <c r="A1663" s="8" t="s">
        <v>64</v>
      </c>
      <c r="B1663" s="1" t="s">
        <v>693</v>
      </c>
      <c r="C1663" s="1" t="s">
        <v>65</v>
      </c>
      <c r="D1663" s="9">
        <f>D1664</f>
        <v>3547626</v>
      </c>
      <c r="E1663" s="9">
        <f>E1664</f>
        <v>3547625.98</v>
      </c>
      <c r="F1663" s="9">
        <f t="shared" si="903"/>
        <v>2293824.9516099999</v>
      </c>
      <c r="G1663" s="9">
        <f t="shared" si="903"/>
        <v>2293824.9516099999</v>
      </c>
      <c r="H1663" s="9">
        <f>H1664</f>
        <v>2293762.1503300001</v>
      </c>
      <c r="I1663" s="9">
        <f t="shared" si="889"/>
        <v>64.656256416579751</v>
      </c>
      <c r="J1663" s="9">
        <f t="shared" si="890"/>
        <v>99.997262158999717</v>
      </c>
    </row>
    <row r="1664" spans="1:10" ht="25.5">
      <c r="A1664" s="8" t="s">
        <v>66</v>
      </c>
      <c r="B1664" s="1" t="s">
        <v>693</v>
      </c>
      <c r="C1664" s="1" t="s">
        <v>67</v>
      </c>
      <c r="D1664" s="9">
        <f>ведомство!G1688</f>
        <v>3547626</v>
      </c>
      <c r="E1664" s="9">
        <f>ведомство!H1688</f>
        <v>3547625.98</v>
      </c>
      <c r="F1664" s="9">
        <f>ведомство!I1688</f>
        <v>2293824.9516099999</v>
      </c>
      <c r="G1664" s="9">
        <f>ведомство!J1688</f>
        <v>2293824.9516099999</v>
      </c>
      <c r="H1664" s="9">
        <f>ведомство!K1688</f>
        <v>2293762.1503300001</v>
      </c>
      <c r="I1664" s="9">
        <f t="shared" si="889"/>
        <v>64.656256416579751</v>
      </c>
      <c r="J1664" s="9">
        <f t="shared" si="890"/>
        <v>99.997262158999717</v>
      </c>
    </row>
    <row r="1665" spans="1:10">
      <c r="A1665" s="4" t="s">
        <v>0</v>
      </c>
      <c r="B1665" s="17" t="s">
        <v>0</v>
      </c>
      <c r="C1665" s="5" t="s">
        <v>0</v>
      </c>
      <c r="D1665" s="7" t="s">
        <v>0</v>
      </c>
      <c r="E1665" s="7" t="s">
        <v>0</v>
      </c>
      <c r="F1665" s="7" t="s">
        <v>0</v>
      </c>
      <c r="G1665" s="7" t="s">
        <v>0</v>
      </c>
      <c r="H1665" s="7" t="s">
        <v>0</v>
      </c>
      <c r="I1665" s="7"/>
      <c r="J1665" s="7"/>
    </row>
    <row r="1666" spans="1:10" ht="25.5">
      <c r="A1666" s="34" t="s">
        <v>667</v>
      </c>
      <c r="B1666" s="5" t="s">
        <v>668</v>
      </c>
      <c r="C1666" s="5" t="s">
        <v>0</v>
      </c>
      <c r="D1666" s="7">
        <f>D1667+D1679+D1689+D1692+D1695+D1676</f>
        <v>630559.29999999993</v>
      </c>
      <c r="E1666" s="7">
        <f>E1667+E1679+E1689+E1692+E1695+E1676</f>
        <v>631282.56362000003</v>
      </c>
      <c r="F1666" s="7">
        <f t="shared" ref="F1666:G1666" si="904">F1667+F1679+F1689+F1692+F1695+F1676</f>
        <v>459756.17514999997</v>
      </c>
      <c r="G1666" s="7">
        <f t="shared" si="904"/>
        <v>459756.17514999997</v>
      </c>
      <c r="H1666" s="7">
        <f>H1667+H1679+H1689+H1692+H1695+H1676</f>
        <v>452893.94702999998</v>
      </c>
      <c r="I1666" s="7">
        <f t="shared" si="889"/>
        <v>71.741874895600489</v>
      </c>
      <c r="J1666" s="7">
        <f t="shared" si="890"/>
        <v>98.507420130298172</v>
      </c>
    </row>
    <row r="1667" spans="1:10" ht="25.5">
      <c r="A1667" s="8" t="s">
        <v>58</v>
      </c>
      <c r="B1667" s="1" t="s">
        <v>686</v>
      </c>
      <c r="C1667" s="1" t="s">
        <v>0</v>
      </c>
      <c r="D1667" s="9">
        <f>D1668+D1670+D1672+D1674</f>
        <v>44809.5</v>
      </c>
      <c r="E1667" s="9">
        <f>E1668+E1670+E1672+E1674</f>
        <v>44809.502849999997</v>
      </c>
      <c r="F1667" s="9">
        <f t="shared" ref="F1667:G1667" si="905">F1668+F1670+F1672+F1674</f>
        <v>36856.5743</v>
      </c>
      <c r="G1667" s="9">
        <f t="shared" si="905"/>
        <v>36856.5743</v>
      </c>
      <c r="H1667" s="9">
        <f>H1668+H1670+H1672+H1674</f>
        <v>32654.80071</v>
      </c>
      <c r="I1667" s="9">
        <f t="shared" si="889"/>
        <v>72.874722175142367</v>
      </c>
      <c r="J1667" s="9">
        <f t="shared" si="890"/>
        <v>88.5996632356578</v>
      </c>
    </row>
    <row r="1668" spans="1:10" ht="51">
      <c r="A1668" s="8" t="s">
        <v>60</v>
      </c>
      <c r="B1668" s="1" t="s">
        <v>686</v>
      </c>
      <c r="C1668" s="1" t="s">
        <v>61</v>
      </c>
      <c r="D1668" s="9">
        <f>D1669</f>
        <v>40827.1</v>
      </c>
      <c r="E1668" s="9">
        <f>E1669</f>
        <v>40827.09996</v>
      </c>
      <c r="F1668" s="9">
        <f t="shared" ref="F1668:G1668" si="906">F1669</f>
        <v>33683.820719999996</v>
      </c>
      <c r="G1668" s="9">
        <f t="shared" si="906"/>
        <v>33683.820719999996</v>
      </c>
      <c r="H1668" s="9">
        <f>H1669</f>
        <v>29646.802199999998</v>
      </c>
      <c r="I1668" s="9">
        <f t="shared" si="889"/>
        <v>72.615498600307632</v>
      </c>
      <c r="J1668" s="9">
        <f t="shared" si="890"/>
        <v>88.014962573402514</v>
      </c>
    </row>
    <row r="1669" spans="1:10" ht="25.5">
      <c r="A1669" s="8" t="s">
        <v>62</v>
      </c>
      <c r="B1669" s="1" t="s">
        <v>686</v>
      </c>
      <c r="C1669" s="1" t="s">
        <v>63</v>
      </c>
      <c r="D1669" s="9">
        <f>ведомство!G1655+ведомство!G2904</f>
        <v>40827.1</v>
      </c>
      <c r="E1669" s="9">
        <f>ведомство!H1655</f>
        <v>40827.09996</v>
      </c>
      <c r="F1669" s="9">
        <f>ведомство!I1655</f>
        <v>33683.820719999996</v>
      </c>
      <c r="G1669" s="9">
        <f>ведомство!J1655</f>
        <v>33683.820719999996</v>
      </c>
      <c r="H1669" s="9">
        <f>ведомство!K1655</f>
        <v>29646.802199999998</v>
      </c>
      <c r="I1669" s="9">
        <f t="shared" si="889"/>
        <v>72.615498600307632</v>
      </c>
      <c r="J1669" s="9">
        <f t="shared" si="890"/>
        <v>88.014962573402514</v>
      </c>
    </row>
    <row r="1670" spans="1:10" ht="25.5">
      <c r="A1670" s="8" t="s">
        <v>64</v>
      </c>
      <c r="B1670" s="1" t="s">
        <v>686</v>
      </c>
      <c r="C1670" s="1" t="s">
        <v>65</v>
      </c>
      <c r="D1670" s="9">
        <f>D1671</f>
        <v>3765.5</v>
      </c>
      <c r="E1670" s="9">
        <f>E1671</f>
        <v>3765.47289</v>
      </c>
      <c r="F1670" s="9">
        <f t="shared" ref="F1670:G1670" si="907">F1671</f>
        <v>3142.3685799999998</v>
      </c>
      <c r="G1670" s="9">
        <f t="shared" si="907"/>
        <v>3142.3685799999998</v>
      </c>
      <c r="H1670" s="9">
        <f>H1671</f>
        <v>2991.4826800000001</v>
      </c>
      <c r="I1670" s="9">
        <f t="shared" si="889"/>
        <v>79.445072833866561</v>
      </c>
      <c r="J1670" s="9">
        <f t="shared" si="890"/>
        <v>95.198338573000882</v>
      </c>
    </row>
    <row r="1671" spans="1:10" ht="25.5">
      <c r="A1671" s="8" t="s">
        <v>66</v>
      </c>
      <c r="B1671" s="1" t="s">
        <v>686</v>
      </c>
      <c r="C1671" s="1" t="s">
        <v>67</v>
      </c>
      <c r="D1671" s="9">
        <f>ведомство!G1657+ведомство!G2906</f>
        <v>3765.5</v>
      </c>
      <c r="E1671" s="9">
        <f>ведомство!H1657</f>
        <v>3765.47289</v>
      </c>
      <c r="F1671" s="9">
        <f>ведомство!I1657</f>
        <v>3142.3685799999998</v>
      </c>
      <c r="G1671" s="9">
        <f>ведомство!J1657</f>
        <v>3142.3685799999998</v>
      </c>
      <c r="H1671" s="9">
        <f>ведомство!K1657</f>
        <v>2991.4826800000001</v>
      </c>
      <c r="I1671" s="9">
        <f t="shared" si="889"/>
        <v>79.445072833866561</v>
      </c>
      <c r="J1671" s="9">
        <f t="shared" si="890"/>
        <v>95.198338573000882</v>
      </c>
    </row>
    <row r="1672" spans="1:10">
      <c r="A1672" s="8" t="s">
        <v>68</v>
      </c>
      <c r="B1672" s="1" t="s">
        <v>686</v>
      </c>
      <c r="C1672" s="1" t="s">
        <v>69</v>
      </c>
      <c r="D1672" s="9">
        <f>D1673</f>
        <v>180</v>
      </c>
      <c r="E1672" s="9">
        <f>E1673</f>
        <v>180</v>
      </c>
      <c r="F1672" s="9">
        <f t="shared" ref="F1672:G1672" si="908">F1673</f>
        <v>0</v>
      </c>
      <c r="G1672" s="9">
        <f t="shared" si="908"/>
        <v>0</v>
      </c>
      <c r="H1672" s="9">
        <f>H1673</f>
        <v>0</v>
      </c>
      <c r="I1672" s="9">
        <f t="shared" si="889"/>
        <v>0</v>
      </c>
      <c r="J1672" s="9">
        <v>0</v>
      </c>
    </row>
    <row r="1673" spans="1:10">
      <c r="A1673" s="8" t="s">
        <v>70</v>
      </c>
      <c r="B1673" s="1" t="s">
        <v>686</v>
      </c>
      <c r="C1673" s="1" t="s">
        <v>71</v>
      </c>
      <c r="D1673" s="9">
        <f>ведомство!G1659</f>
        <v>180</v>
      </c>
      <c r="E1673" s="9">
        <f>ведомство!H1659</f>
        <v>180</v>
      </c>
      <c r="F1673" s="9">
        <f>ведомство!I1659</f>
        <v>0</v>
      </c>
      <c r="G1673" s="9">
        <f>ведомство!J1659</f>
        <v>0</v>
      </c>
      <c r="H1673" s="9">
        <f>ведомство!K1659</f>
        <v>0</v>
      </c>
      <c r="I1673" s="9">
        <f t="shared" si="889"/>
        <v>0</v>
      </c>
      <c r="J1673" s="9">
        <v>0</v>
      </c>
    </row>
    <row r="1674" spans="1:10">
      <c r="A1674" s="8" t="s">
        <v>72</v>
      </c>
      <c r="B1674" s="1" t="s">
        <v>686</v>
      </c>
      <c r="C1674" s="1" t="s">
        <v>73</v>
      </c>
      <c r="D1674" s="22">
        <f>D1675</f>
        <v>36.9</v>
      </c>
      <c r="E1674" s="22">
        <f>E1675</f>
        <v>36.93</v>
      </c>
      <c r="F1674" s="22">
        <f t="shared" ref="F1674:G1674" si="909">F1675</f>
        <v>30.384999999999998</v>
      </c>
      <c r="G1674" s="22">
        <f t="shared" si="909"/>
        <v>30.384999999999998</v>
      </c>
      <c r="H1674" s="22">
        <f>H1675</f>
        <v>16.515830000000001</v>
      </c>
      <c r="I1674" s="9">
        <f t="shared" si="889"/>
        <v>44.721987544002168</v>
      </c>
      <c r="J1674" s="9">
        <f t="shared" si="890"/>
        <v>54.355208161922008</v>
      </c>
    </row>
    <row r="1675" spans="1:10">
      <c r="A1675" s="8" t="s">
        <v>74</v>
      </c>
      <c r="B1675" s="1" t="s">
        <v>686</v>
      </c>
      <c r="C1675" s="1" t="s">
        <v>75</v>
      </c>
      <c r="D1675" s="9">
        <f>ведомство!G1661+ведомство!G2908</f>
        <v>36.9</v>
      </c>
      <c r="E1675" s="9">
        <f>ведомство!H1661</f>
        <v>36.93</v>
      </c>
      <c r="F1675" s="9">
        <f>ведомство!I1661</f>
        <v>30.384999999999998</v>
      </c>
      <c r="G1675" s="9">
        <f>ведомство!J1661</f>
        <v>30.384999999999998</v>
      </c>
      <c r="H1675" s="9">
        <f>ведомство!K1661</f>
        <v>16.515830000000001</v>
      </c>
      <c r="I1675" s="9">
        <f t="shared" si="889"/>
        <v>44.721987544002168</v>
      </c>
      <c r="J1675" s="9">
        <f t="shared" si="890"/>
        <v>54.355208161922008</v>
      </c>
    </row>
    <row r="1676" spans="1:10" s="42" customFormat="1">
      <c r="A1676" s="8" t="s">
        <v>609</v>
      </c>
      <c r="B1676" s="24" t="s">
        <v>1174</v>
      </c>
      <c r="C1676" s="6"/>
      <c r="D1676" s="9">
        <f>D1677</f>
        <v>0</v>
      </c>
      <c r="E1676" s="9">
        <f>E1677</f>
        <v>723.26076999999998</v>
      </c>
      <c r="F1676" s="9">
        <f t="shared" ref="F1676:G1677" si="910">F1677</f>
        <v>206</v>
      </c>
      <c r="G1676" s="9">
        <f t="shared" si="910"/>
        <v>206</v>
      </c>
      <c r="H1676" s="9">
        <f>H1677</f>
        <v>171</v>
      </c>
      <c r="I1676" s="9">
        <f t="shared" ref="I1676:I1678" si="911">H1676/E1676*100</f>
        <v>23.642924805668638</v>
      </c>
      <c r="J1676" s="9">
        <f t="shared" ref="J1676:J1678" si="912">H1676/F1676*100</f>
        <v>83.009708737864074</v>
      </c>
    </row>
    <row r="1677" spans="1:10" s="42" customFormat="1">
      <c r="A1677" s="8" t="s">
        <v>72</v>
      </c>
      <c r="B1677" s="24" t="s">
        <v>1174</v>
      </c>
      <c r="C1677" s="6">
        <v>800</v>
      </c>
      <c r="D1677" s="9">
        <f>D1678</f>
        <v>0</v>
      </c>
      <c r="E1677" s="9">
        <f>E1678</f>
        <v>723.26076999999998</v>
      </c>
      <c r="F1677" s="9">
        <f t="shared" si="910"/>
        <v>206</v>
      </c>
      <c r="G1677" s="9">
        <f t="shared" si="910"/>
        <v>206</v>
      </c>
      <c r="H1677" s="9">
        <f>H1678</f>
        <v>171</v>
      </c>
      <c r="I1677" s="9">
        <f t="shared" si="911"/>
        <v>23.642924805668638</v>
      </c>
      <c r="J1677" s="9">
        <f t="shared" si="912"/>
        <v>83.009708737864074</v>
      </c>
    </row>
    <row r="1678" spans="1:10" s="42" customFormat="1">
      <c r="A1678" s="8" t="s">
        <v>84</v>
      </c>
      <c r="B1678" s="24" t="s">
        <v>1174</v>
      </c>
      <c r="C1678" s="6">
        <v>830</v>
      </c>
      <c r="D1678" s="9">
        <f>ведомство!G1616</f>
        <v>0</v>
      </c>
      <c r="E1678" s="9">
        <f>ведомство!H1616</f>
        <v>723.26076999999998</v>
      </c>
      <c r="F1678" s="9">
        <f>ведомство!I1616</f>
        <v>206</v>
      </c>
      <c r="G1678" s="9">
        <f>ведомство!J1616</f>
        <v>206</v>
      </c>
      <c r="H1678" s="9">
        <f>ведомство!K1616</f>
        <v>171</v>
      </c>
      <c r="I1678" s="9">
        <f t="shared" si="911"/>
        <v>23.642924805668638</v>
      </c>
      <c r="J1678" s="9">
        <f t="shared" si="912"/>
        <v>83.009708737864074</v>
      </c>
    </row>
    <row r="1679" spans="1:10" ht="25.5">
      <c r="A1679" s="8" t="s">
        <v>76</v>
      </c>
      <c r="B1679" s="1" t="s">
        <v>694</v>
      </c>
      <c r="C1679" s="1" t="s">
        <v>0</v>
      </c>
      <c r="D1679" s="9">
        <f>D1680+D1682+D1684+D1686</f>
        <v>137509.19999999998</v>
      </c>
      <c r="E1679" s="9">
        <f>E1680+E1682+E1684+E1686</f>
        <v>137509.20000000001</v>
      </c>
      <c r="F1679" s="9">
        <f t="shared" ref="F1679:G1679" si="913">F1680+F1682+F1684+F1686</f>
        <v>99270.462849999996</v>
      </c>
      <c r="G1679" s="9">
        <f t="shared" si="913"/>
        <v>99270.462849999996</v>
      </c>
      <c r="H1679" s="9">
        <f>H1680+H1682+H1684+H1686</f>
        <v>96673.168329999986</v>
      </c>
      <c r="I1679" s="9">
        <f t="shared" si="889"/>
        <v>70.303054871964903</v>
      </c>
      <c r="J1679" s="9">
        <f t="shared" si="890"/>
        <v>97.383618001333801</v>
      </c>
    </row>
    <row r="1680" spans="1:10" ht="51">
      <c r="A1680" s="8" t="s">
        <v>60</v>
      </c>
      <c r="B1680" s="1" t="s">
        <v>694</v>
      </c>
      <c r="C1680" s="1" t="s">
        <v>61</v>
      </c>
      <c r="D1680" s="9">
        <f>D1681</f>
        <v>73093.7</v>
      </c>
      <c r="E1680" s="9">
        <f>E1681</f>
        <v>73093.700000000012</v>
      </c>
      <c r="F1680" s="9">
        <f t="shared" ref="F1680:G1680" si="914">F1681</f>
        <v>52906.3</v>
      </c>
      <c r="G1680" s="9">
        <f t="shared" si="914"/>
        <v>52906.3</v>
      </c>
      <c r="H1680" s="9">
        <f>H1681</f>
        <v>51179.816799999993</v>
      </c>
      <c r="I1680" s="9">
        <f t="shared" si="889"/>
        <v>70.019463784156471</v>
      </c>
      <c r="J1680" s="9">
        <f t="shared" si="890"/>
        <v>96.736715287215304</v>
      </c>
    </row>
    <row r="1681" spans="1:10">
      <c r="A1681" s="8" t="s">
        <v>78</v>
      </c>
      <c r="B1681" s="1" t="s">
        <v>694</v>
      </c>
      <c r="C1681" s="1" t="s">
        <v>79</v>
      </c>
      <c r="D1681" s="9">
        <f>ведомство!G1692</f>
        <v>73093.7</v>
      </c>
      <c r="E1681" s="9">
        <f>ведомство!H1692</f>
        <v>73093.700000000012</v>
      </c>
      <c r="F1681" s="9">
        <f>ведомство!I1692</f>
        <v>52906.3</v>
      </c>
      <c r="G1681" s="9">
        <f>ведомство!J1692</f>
        <v>52906.3</v>
      </c>
      <c r="H1681" s="9">
        <f>ведомство!K1692</f>
        <v>51179.816799999993</v>
      </c>
      <c r="I1681" s="9">
        <f t="shared" si="889"/>
        <v>70.019463784156471</v>
      </c>
      <c r="J1681" s="9">
        <f t="shared" si="890"/>
        <v>96.736715287215304</v>
      </c>
    </row>
    <row r="1682" spans="1:10" ht="25.5">
      <c r="A1682" s="8" t="s">
        <v>64</v>
      </c>
      <c r="B1682" s="1" t="s">
        <v>694</v>
      </c>
      <c r="C1682" s="1" t="s">
        <v>65</v>
      </c>
      <c r="D1682" s="9">
        <f>D1683</f>
        <v>18115.2</v>
      </c>
      <c r="E1682" s="9">
        <f>E1683</f>
        <v>18115.2</v>
      </c>
      <c r="F1682" s="9">
        <f t="shared" ref="F1682:G1682" si="915">F1683</f>
        <v>11740.671</v>
      </c>
      <c r="G1682" s="9">
        <f t="shared" si="915"/>
        <v>11740.671</v>
      </c>
      <c r="H1682" s="9">
        <f>H1683</f>
        <v>10985.27692</v>
      </c>
      <c r="I1682" s="9">
        <f t="shared" si="889"/>
        <v>60.641212462462455</v>
      </c>
      <c r="J1682" s="9">
        <f t="shared" si="890"/>
        <v>93.566005895233758</v>
      </c>
    </row>
    <row r="1683" spans="1:10" ht="25.5">
      <c r="A1683" s="8" t="s">
        <v>66</v>
      </c>
      <c r="B1683" s="1" t="s">
        <v>694</v>
      </c>
      <c r="C1683" s="1" t="s">
        <v>67</v>
      </c>
      <c r="D1683" s="9">
        <f>ведомство!G1694</f>
        <v>18115.2</v>
      </c>
      <c r="E1683" s="9">
        <f>ведомство!H1694</f>
        <v>18115.2</v>
      </c>
      <c r="F1683" s="9">
        <f>ведомство!I1694</f>
        <v>11740.671</v>
      </c>
      <c r="G1683" s="9">
        <f>ведомство!J1694</f>
        <v>11740.671</v>
      </c>
      <c r="H1683" s="9">
        <f>ведомство!K1694</f>
        <v>10985.27692</v>
      </c>
      <c r="I1683" s="9">
        <f t="shared" si="889"/>
        <v>60.641212462462455</v>
      </c>
      <c r="J1683" s="9">
        <f t="shared" si="890"/>
        <v>93.566005895233758</v>
      </c>
    </row>
    <row r="1684" spans="1:10" ht="25.5">
      <c r="A1684" s="8" t="s">
        <v>80</v>
      </c>
      <c r="B1684" s="1" t="s">
        <v>694</v>
      </c>
      <c r="C1684" s="1" t="s">
        <v>81</v>
      </c>
      <c r="D1684" s="9">
        <f>D1685</f>
        <v>43565.299999999996</v>
      </c>
      <c r="E1684" s="9">
        <f>E1685</f>
        <v>43565.299999999996</v>
      </c>
      <c r="F1684" s="9">
        <f t="shared" ref="F1684:G1684" si="916">F1685</f>
        <v>32303.699999999997</v>
      </c>
      <c r="G1684" s="9">
        <f t="shared" si="916"/>
        <v>32303.699999999997</v>
      </c>
      <c r="H1684" s="9">
        <f>H1685</f>
        <v>32303.699999999997</v>
      </c>
      <c r="I1684" s="9">
        <f t="shared" si="889"/>
        <v>74.150068976915122</v>
      </c>
      <c r="J1684" s="9">
        <f t="shared" si="890"/>
        <v>100</v>
      </c>
    </row>
    <row r="1685" spans="1:10">
      <c r="A1685" s="8" t="s">
        <v>271</v>
      </c>
      <c r="B1685" s="1" t="s">
        <v>694</v>
      </c>
      <c r="C1685" s="1" t="s">
        <v>272</v>
      </c>
      <c r="D1685" s="9">
        <f>ведомство!G924+ведомство!G1696</f>
        <v>43565.299999999996</v>
      </c>
      <c r="E1685" s="9">
        <f>ведомство!H924+ведомство!H1696</f>
        <v>43565.299999999996</v>
      </c>
      <c r="F1685" s="9">
        <f>ведомство!I924+ведомство!I1696</f>
        <v>32303.699999999997</v>
      </c>
      <c r="G1685" s="9">
        <f>ведомство!J924+ведомство!J1696</f>
        <v>32303.699999999997</v>
      </c>
      <c r="H1685" s="9">
        <f>ведомство!K924+ведомство!K1696</f>
        <v>32303.699999999997</v>
      </c>
      <c r="I1685" s="9">
        <f t="shared" si="889"/>
        <v>74.150068976915122</v>
      </c>
      <c r="J1685" s="9">
        <f t="shared" si="890"/>
        <v>100</v>
      </c>
    </row>
    <row r="1686" spans="1:10">
      <c r="A1686" s="8" t="s">
        <v>72</v>
      </c>
      <c r="B1686" s="1" t="s">
        <v>694</v>
      </c>
      <c r="C1686" s="1" t="s">
        <v>73</v>
      </c>
      <c r="D1686" s="9">
        <f>D1688+D1687</f>
        <v>2735</v>
      </c>
      <c r="E1686" s="9">
        <f>E1688+E1687</f>
        <v>2735</v>
      </c>
      <c r="F1686" s="9">
        <f t="shared" ref="F1686:G1686" si="917">F1688+F1687</f>
        <v>2319.7918499999996</v>
      </c>
      <c r="G1686" s="9">
        <f t="shared" si="917"/>
        <v>2319.7918499999996</v>
      </c>
      <c r="H1686" s="9">
        <f>H1688+H1687</f>
        <v>2204.3746099999998</v>
      </c>
      <c r="I1686" s="9">
        <f t="shared" si="889"/>
        <v>80.598706032906762</v>
      </c>
      <c r="J1686" s="9">
        <f t="shared" si="890"/>
        <v>95.024672579998949</v>
      </c>
    </row>
    <row r="1687" spans="1:10" s="42" customFormat="1">
      <c r="A1687" s="25" t="s">
        <v>84</v>
      </c>
      <c r="B1687" s="1" t="s">
        <v>694</v>
      </c>
      <c r="C1687" s="1">
        <v>830</v>
      </c>
      <c r="D1687" s="9">
        <f>ведомство!G1698</f>
        <v>0</v>
      </c>
      <c r="E1687" s="9">
        <f>ведомство!H1698</f>
        <v>86.483840000000001</v>
      </c>
      <c r="F1687" s="9">
        <f>ведомство!I1698</f>
        <v>86.483840000000001</v>
      </c>
      <c r="G1687" s="9">
        <f>ведомство!J1698</f>
        <v>86.483840000000001</v>
      </c>
      <c r="H1687" s="9">
        <f>ведомство!K1698</f>
        <v>86.483840000000001</v>
      </c>
      <c r="I1687" s="9">
        <f t="shared" ref="I1687" si="918">H1687/E1687*100</f>
        <v>100</v>
      </c>
      <c r="J1687" s="9">
        <f t="shared" ref="J1687" si="919">H1687/F1687*100</f>
        <v>100</v>
      </c>
    </row>
    <row r="1688" spans="1:10">
      <c r="A1688" s="8" t="s">
        <v>74</v>
      </c>
      <c r="B1688" s="1" t="s">
        <v>694</v>
      </c>
      <c r="C1688" s="1" t="s">
        <v>75</v>
      </c>
      <c r="D1688" s="9">
        <f>ведомство!G1699</f>
        <v>2735</v>
      </c>
      <c r="E1688" s="9">
        <f>ведомство!H1699</f>
        <v>2648.5161600000001</v>
      </c>
      <c r="F1688" s="9">
        <f>ведомство!I1699</f>
        <v>2233.3080099999997</v>
      </c>
      <c r="G1688" s="9">
        <f>ведомство!J1699</f>
        <v>2233.3080099999997</v>
      </c>
      <c r="H1688" s="9">
        <f>ведомство!K1699</f>
        <v>2117.89077</v>
      </c>
      <c r="I1688" s="9">
        <f t="shared" si="889"/>
        <v>79.965182088977699</v>
      </c>
      <c r="J1688" s="9">
        <f t="shared" si="890"/>
        <v>94.832005281707652</v>
      </c>
    </row>
    <row r="1689" spans="1:10">
      <c r="A1689" s="8" t="s">
        <v>695</v>
      </c>
      <c r="B1689" s="1" t="s">
        <v>696</v>
      </c>
      <c r="C1689" s="1" t="s">
        <v>0</v>
      </c>
      <c r="D1689" s="9">
        <f>D1690</f>
        <v>1264.8</v>
      </c>
      <c r="E1689" s="9">
        <f>E1690</f>
        <v>1264.8</v>
      </c>
      <c r="F1689" s="9">
        <f t="shared" ref="F1689:G1690" si="920">F1690</f>
        <v>99</v>
      </c>
      <c r="G1689" s="9">
        <f t="shared" si="920"/>
        <v>99</v>
      </c>
      <c r="H1689" s="9">
        <f>H1690</f>
        <v>99</v>
      </c>
      <c r="I1689" s="9">
        <f t="shared" si="889"/>
        <v>7.8273244781783688</v>
      </c>
      <c r="J1689" s="9">
        <f t="shared" si="890"/>
        <v>100</v>
      </c>
    </row>
    <row r="1690" spans="1:10" ht="25.5">
      <c r="A1690" s="8" t="s">
        <v>64</v>
      </c>
      <c r="B1690" s="1" t="s">
        <v>696</v>
      </c>
      <c r="C1690" s="1" t="s">
        <v>65</v>
      </c>
      <c r="D1690" s="9">
        <f>D1691</f>
        <v>1264.8</v>
      </c>
      <c r="E1690" s="9">
        <f>E1691</f>
        <v>1264.8</v>
      </c>
      <c r="F1690" s="9">
        <f t="shared" si="920"/>
        <v>99</v>
      </c>
      <c r="G1690" s="9">
        <f t="shared" si="920"/>
        <v>99</v>
      </c>
      <c r="H1690" s="9">
        <f>H1691</f>
        <v>99</v>
      </c>
      <c r="I1690" s="9">
        <f t="shared" si="889"/>
        <v>7.8273244781783688</v>
      </c>
      <c r="J1690" s="9">
        <f t="shared" si="890"/>
        <v>100</v>
      </c>
    </row>
    <row r="1691" spans="1:10" ht="25.5">
      <c r="A1691" s="8" t="s">
        <v>66</v>
      </c>
      <c r="B1691" s="1" t="s">
        <v>696</v>
      </c>
      <c r="C1691" s="1" t="s">
        <v>67</v>
      </c>
      <c r="D1691" s="9">
        <f>ведомство!G1702</f>
        <v>1264.8</v>
      </c>
      <c r="E1691" s="9">
        <f>ведомство!H1702</f>
        <v>1264.8</v>
      </c>
      <c r="F1691" s="9">
        <f>ведомство!I1702</f>
        <v>99</v>
      </c>
      <c r="G1691" s="9">
        <f>ведомство!J1702</f>
        <v>99</v>
      </c>
      <c r="H1691" s="9">
        <f>ведомство!K1702</f>
        <v>99</v>
      </c>
      <c r="I1691" s="9">
        <f t="shared" si="889"/>
        <v>7.8273244781783688</v>
      </c>
      <c r="J1691" s="9">
        <f t="shared" si="890"/>
        <v>100</v>
      </c>
    </row>
    <row r="1692" spans="1:10" ht="25.5">
      <c r="A1692" s="8" t="s">
        <v>697</v>
      </c>
      <c r="B1692" s="1" t="s">
        <v>698</v>
      </c>
      <c r="C1692" s="1" t="s">
        <v>0</v>
      </c>
      <c r="D1692" s="9">
        <f>D1693</f>
        <v>446975.8</v>
      </c>
      <c r="E1692" s="9">
        <f>E1693</f>
        <v>446975.8</v>
      </c>
      <c r="F1692" s="9">
        <f t="shared" ref="F1692:G1693" si="921">F1693</f>
        <v>323324.13799999998</v>
      </c>
      <c r="G1692" s="9">
        <f t="shared" si="921"/>
        <v>323324.13799999998</v>
      </c>
      <c r="H1692" s="9">
        <f>H1693</f>
        <v>323295.97798999998</v>
      </c>
      <c r="I1692" s="9">
        <f t="shared" si="889"/>
        <v>72.329637978163476</v>
      </c>
      <c r="J1692" s="9">
        <f t="shared" si="890"/>
        <v>99.991290470864882</v>
      </c>
    </row>
    <row r="1693" spans="1:10">
      <c r="A1693" s="8" t="s">
        <v>72</v>
      </c>
      <c r="B1693" s="1" t="s">
        <v>698</v>
      </c>
      <c r="C1693" s="1" t="s">
        <v>73</v>
      </c>
      <c r="D1693" s="9">
        <f>D1694</f>
        <v>446975.8</v>
      </c>
      <c r="E1693" s="9">
        <f>E1694</f>
        <v>446975.8</v>
      </c>
      <c r="F1693" s="9">
        <f t="shared" si="921"/>
        <v>323324.13799999998</v>
      </c>
      <c r="G1693" s="9">
        <f t="shared" si="921"/>
        <v>323324.13799999998</v>
      </c>
      <c r="H1693" s="9">
        <f>H1694</f>
        <v>323295.97798999998</v>
      </c>
      <c r="I1693" s="9">
        <f t="shared" si="889"/>
        <v>72.329637978163476</v>
      </c>
      <c r="J1693" s="9">
        <f t="shared" si="890"/>
        <v>99.991290470864882</v>
      </c>
    </row>
    <row r="1694" spans="1:10">
      <c r="A1694" s="8" t="s">
        <v>74</v>
      </c>
      <c r="B1694" s="1" t="s">
        <v>698</v>
      </c>
      <c r="C1694" s="1" t="s">
        <v>75</v>
      </c>
      <c r="D1694" s="9">
        <f>ведомство!G1705</f>
        <v>446975.8</v>
      </c>
      <c r="E1694" s="9">
        <f>ведомство!H1705</f>
        <v>446975.8</v>
      </c>
      <c r="F1694" s="9">
        <f>ведомство!I1705</f>
        <v>323324.13799999998</v>
      </c>
      <c r="G1694" s="9">
        <f>ведомство!J1705</f>
        <v>323324.13799999998</v>
      </c>
      <c r="H1694" s="9">
        <f>ведомство!K1705</f>
        <v>323295.97798999998</v>
      </c>
      <c r="I1694" s="9">
        <f t="shared" si="889"/>
        <v>72.329637978163476</v>
      </c>
      <c r="J1694" s="9">
        <f t="shared" si="890"/>
        <v>99.991290470864882</v>
      </c>
    </row>
    <row r="1695" spans="1:10" ht="25.5">
      <c r="A1695" s="8" t="s">
        <v>669</v>
      </c>
      <c r="B1695" s="1" t="s">
        <v>670</v>
      </c>
      <c r="C1695" s="1" t="s">
        <v>0</v>
      </c>
      <c r="D1695" s="9">
        <f>D1696</f>
        <v>0</v>
      </c>
      <c r="E1695" s="9">
        <f>E1696</f>
        <v>0</v>
      </c>
      <c r="F1695" s="9">
        <f t="shared" ref="F1695:G1696" si="922">F1696</f>
        <v>0</v>
      </c>
      <c r="G1695" s="9">
        <f t="shared" si="922"/>
        <v>0</v>
      </c>
      <c r="H1695" s="9">
        <f>H1696</f>
        <v>0</v>
      </c>
      <c r="I1695" s="9">
        <v>0</v>
      </c>
      <c r="J1695" s="9">
        <v>0</v>
      </c>
    </row>
    <row r="1696" spans="1:10">
      <c r="A1696" s="8" t="s">
        <v>72</v>
      </c>
      <c r="B1696" s="1" t="s">
        <v>670</v>
      </c>
      <c r="C1696" s="1" t="s">
        <v>73</v>
      </c>
      <c r="D1696" s="9">
        <f>D1697</f>
        <v>0</v>
      </c>
      <c r="E1696" s="9">
        <f>E1697</f>
        <v>0</v>
      </c>
      <c r="F1696" s="9">
        <f t="shared" si="922"/>
        <v>0</v>
      </c>
      <c r="G1696" s="9">
        <f t="shared" si="922"/>
        <v>0</v>
      </c>
      <c r="H1696" s="9">
        <f>H1697</f>
        <v>0</v>
      </c>
      <c r="I1696" s="9">
        <v>0</v>
      </c>
      <c r="J1696" s="9">
        <v>0</v>
      </c>
    </row>
    <row r="1697" spans="1:10">
      <c r="A1697" s="8" t="s">
        <v>615</v>
      </c>
      <c r="B1697" s="1" t="s">
        <v>670</v>
      </c>
      <c r="C1697" s="1" t="s">
        <v>616</v>
      </c>
      <c r="D1697" s="9">
        <f>ведомство!G1619</f>
        <v>0</v>
      </c>
      <c r="E1697" s="9">
        <f>ведомство!H1619</f>
        <v>0</v>
      </c>
      <c r="F1697" s="9">
        <f>ведомство!I1619</f>
        <v>0</v>
      </c>
      <c r="G1697" s="9">
        <f>ведомство!J1619</f>
        <v>0</v>
      </c>
      <c r="H1697" s="9">
        <f>ведомство!K1619</f>
        <v>0</v>
      </c>
      <c r="I1697" s="9">
        <v>0</v>
      </c>
      <c r="J1697" s="9">
        <v>0</v>
      </c>
    </row>
    <row r="1698" spans="1:10">
      <c r="A1698" s="4" t="s">
        <v>0</v>
      </c>
      <c r="B1698" s="17" t="s">
        <v>0</v>
      </c>
      <c r="C1698" s="5" t="s">
        <v>0</v>
      </c>
      <c r="D1698" s="7" t="s">
        <v>0</v>
      </c>
      <c r="E1698" s="7" t="s">
        <v>0</v>
      </c>
      <c r="F1698" s="7" t="s">
        <v>0</v>
      </c>
      <c r="G1698" s="7" t="s">
        <v>0</v>
      </c>
      <c r="H1698" s="7" t="s">
        <v>0</v>
      </c>
      <c r="I1698" s="7"/>
      <c r="J1698" s="7"/>
    </row>
    <row r="1699" spans="1:10" ht="25.5">
      <c r="A1699" s="4" t="s">
        <v>699</v>
      </c>
      <c r="B1699" s="5" t="s">
        <v>700</v>
      </c>
      <c r="C1699" s="5" t="s">
        <v>0</v>
      </c>
      <c r="D1699" s="7">
        <f>D1700</f>
        <v>48629.1</v>
      </c>
      <c r="E1699" s="7">
        <f>E1700</f>
        <v>48629.1</v>
      </c>
      <c r="F1699" s="7">
        <f t="shared" ref="F1699:G1699" si="923">F1700</f>
        <v>40819.1</v>
      </c>
      <c r="G1699" s="7">
        <f t="shared" si="923"/>
        <v>40819.1</v>
      </c>
      <c r="H1699" s="7">
        <f>H1700</f>
        <v>40819.1</v>
      </c>
      <c r="I1699" s="7">
        <f t="shared" si="889"/>
        <v>83.939657530161981</v>
      </c>
      <c r="J1699" s="7">
        <f t="shared" si="890"/>
        <v>100</v>
      </c>
    </row>
    <row r="1700" spans="1:10" ht="25.5">
      <c r="A1700" s="8" t="s">
        <v>701</v>
      </c>
      <c r="B1700" s="1" t="s">
        <v>702</v>
      </c>
      <c r="C1700" s="1" t="s">
        <v>0</v>
      </c>
      <c r="D1700" s="9">
        <f>D1701+D1703</f>
        <v>48629.1</v>
      </c>
      <c r="E1700" s="9">
        <f>E1701+E1703</f>
        <v>48629.1</v>
      </c>
      <c r="F1700" s="9">
        <f t="shared" ref="F1700:G1700" si="924">F1701+F1703</f>
        <v>40819.1</v>
      </c>
      <c r="G1700" s="9">
        <f t="shared" si="924"/>
        <v>40819.1</v>
      </c>
      <c r="H1700" s="9">
        <f>H1701+H1703</f>
        <v>40819.1</v>
      </c>
      <c r="I1700" s="9">
        <f t="shared" si="889"/>
        <v>83.939657530161981</v>
      </c>
      <c r="J1700" s="9">
        <f t="shared" si="890"/>
        <v>100</v>
      </c>
    </row>
    <row r="1701" spans="1:10" ht="25.5">
      <c r="A1701" s="8" t="s">
        <v>64</v>
      </c>
      <c r="B1701" s="1" t="s">
        <v>702</v>
      </c>
      <c r="C1701" s="1" t="s">
        <v>65</v>
      </c>
      <c r="D1701" s="9">
        <f>D1702</f>
        <v>5000</v>
      </c>
      <c r="E1701" s="9">
        <f>E1702</f>
        <v>5000</v>
      </c>
      <c r="F1701" s="9">
        <f t="shared" ref="F1701:G1701" si="925">F1702</f>
        <v>160</v>
      </c>
      <c r="G1701" s="9">
        <f t="shared" si="925"/>
        <v>160</v>
      </c>
      <c r="H1701" s="9">
        <f>H1702</f>
        <v>160</v>
      </c>
      <c r="I1701" s="9">
        <f t="shared" si="889"/>
        <v>3.2</v>
      </c>
      <c r="J1701" s="9">
        <f t="shared" si="890"/>
        <v>100</v>
      </c>
    </row>
    <row r="1702" spans="1:10" ht="25.5">
      <c r="A1702" s="8" t="s">
        <v>66</v>
      </c>
      <c r="B1702" s="1" t="s">
        <v>702</v>
      </c>
      <c r="C1702" s="1" t="s">
        <v>67</v>
      </c>
      <c r="D1702" s="9">
        <f>ведомство!G1709</f>
        <v>5000</v>
      </c>
      <c r="E1702" s="9">
        <f>ведомство!H1709</f>
        <v>5000</v>
      </c>
      <c r="F1702" s="9">
        <f>ведомство!I1709</f>
        <v>160</v>
      </c>
      <c r="G1702" s="9">
        <f>ведомство!J1709</f>
        <v>160</v>
      </c>
      <c r="H1702" s="9">
        <f>ведомство!K1709</f>
        <v>160</v>
      </c>
      <c r="I1702" s="9">
        <f t="shared" si="889"/>
        <v>3.2</v>
      </c>
      <c r="J1702" s="9">
        <f t="shared" si="890"/>
        <v>100</v>
      </c>
    </row>
    <row r="1703" spans="1:10" ht="25.5">
      <c r="A1703" s="8" t="s">
        <v>80</v>
      </c>
      <c r="B1703" s="1" t="s">
        <v>702</v>
      </c>
      <c r="C1703" s="1" t="s">
        <v>81</v>
      </c>
      <c r="D1703" s="9">
        <f>D1704</f>
        <v>43629.1</v>
      </c>
      <c r="E1703" s="9">
        <f>E1704</f>
        <v>43629.1</v>
      </c>
      <c r="F1703" s="9">
        <f t="shared" ref="F1703:G1703" si="926">F1704</f>
        <v>40659.1</v>
      </c>
      <c r="G1703" s="9">
        <f t="shared" si="926"/>
        <v>40659.1</v>
      </c>
      <c r="H1703" s="9">
        <f>H1704</f>
        <v>40659.1</v>
      </c>
      <c r="I1703" s="9">
        <f t="shared" si="889"/>
        <v>93.192616854347207</v>
      </c>
      <c r="J1703" s="9">
        <f t="shared" si="890"/>
        <v>100</v>
      </c>
    </row>
    <row r="1704" spans="1:10">
      <c r="A1704" s="8" t="s">
        <v>271</v>
      </c>
      <c r="B1704" s="1" t="s">
        <v>702</v>
      </c>
      <c r="C1704" s="1" t="s">
        <v>272</v>
      </c>
      <c r="D1704" s="9">
        <f>ведомство!G1711</f>
        <v>43629.1</v>
      </c>
      <c r="E1704" s="9">
        <f>ведомство!H1711</f>
        <v>43629.1</v>
      </c>
      <c r="F1704" s="9">
        <f>ведомство!I1711</f>
        <v>40659.1</v>
      </c>
      <c r="G1704" s="9">
        <f>ведомство!J1711</f>
        <v>40659.1</v>
      </c>
      <c r="H1704" s="9">
        <f>ведомство!K1711</f>
        <v>40659.1</v>
      </c>
      <c r="I1704" s="9">
        <f t="shared" si="889"/>
        <v>93.192616854347207</v>
      </c>
      <c r="J1704" s="9">
        <f t="shared" si="890"/>
        <v>100</v>
      </c>
    </row>
    <row r="1705" spans="1:10">
      <c r="A1705" s="4" t="s">
        <v>0</v>
      </c>
      <c r="B1705" s="17" t="s">
        <v>0</v>
      </c>
      <c r="C1705" s="5" t="s">
        <v>0</v>
      </c>
      <c r="D1705" s="7" t="s">
        <v>0</v>
      </c>
      <c r="E1705" s="7" t="s">
        <v>0</v>
      </c>
      <c r="F1705" s="7" t="s">
        <v>0</v>
      </c>
      <c r="G1705" s="7" t="s">
        <v>0</v>
      </c>
      <c r="H1705" s="7" t="s">
        <v>0</v>
      </c>
      <c r="I1705" s="7"/>
      <c r="J1705" s="7"/>
    </row>
    <row r="1706" spans="1:10" ht="25.5">
      <c r="A1706" s="4" t="s">
        <v>1049</v>
      </c>
      <c r="B1706" s="5" t="s">
        <v>1050</v>
      </c>
      <c r="C1706" s="5" t="s">
        <v>0</v>
      </c>
      <c r="D1706" s="7">
        <f>D1710+D1715+D1724+D1727+D1730+D1735+D1738+D1707</f>
        <v>106083.8</v>
      </c>
      <c r="E1706" s="7">
        <f>E1710+E1715+E1724+E1727+E1730+E1735+E1738+E1707</f>
        <v>320411.00691</v>
      </c>
      <c r="F1706" s="7">
        <f t="shared" ref="F1706:G1706" si="927">F1710+F1715+F1724+F1727+F1730+F1735+F1738+F1707</f>
        <v>213441.073</v>
      </c>
      <c r="G1706" s="7">
        <f t="shared" si="927"/>
        <v>213283.573</v>
      </c>
      <c r="H1706" s="7">
        <f>H1710+H1715+H1724+H1727+H1730+H1735+H1738+H1707</f>
        <v>212839.99424999999</v>
      </c>
      <c r="I1706" s="7">
        <f t="shared" si="889"/>
        <v>66.427179360222311</v>
      </c>
      <c r="J1706" s="7">
        <f t="shared" si="890"/>
        <v>99.718386559085559</v>
      </c>
    </row>
    <row r="1707" spans="1:10" s="42" customFormat="1" ht="25.5">
      <c r="A1707" s="8" t="s">
        <v>1204</v>
      </c>
      <c r="B1707" s="24" t="s">
        <v>1205</v>
      </c>
      <c r="C1707" s="6"/>
      <c r="D1707" s="22">
        <f>D1708</f>
        <v>0</v>
      </c>
      <c r="E1707" s="22">
        <f>E1708</f>
        <v>214327.21638</v>
      </c>
      <c r="F1707" s="22">
        <f t="shared" ref="F1707:G1708" si="928">F1708</f>
        <v>174484.61637999999</v>
      </c>
      <c r="G1707" s="22">
        <f t="shared" si="928"/>
        <v>174484.61637999999</v>
      </c>
      <c r="H1707" s="22">
        <f>H1708</f>
        <v>174484.61637999999</v>
      </c>
      <c r="I1707" s="9">
        <f t="shared" ref="I1707:I1709" si="929">H1707/E1707*100</f>
        <v>81.410387036726377</v>
      </c>
      <c r="J1707" s="9">
        <f t="shared" ref="J1707:J1709" si="930">H1707/F1707*100</f>
        <v>100</v>
      </c>
    </row>
    <row r="1708" spans="1:10" s="42" customFormat="1">
      <c r="A1708" s="8" t="s">
        <v>26</v>
      </c>
      <c r="B1708" s="24" t="s">
        <v>1205</v>
      </c>
      <c r="C1708" s="6">
        <v>500</v>
      </c>
      <c r="D1708" s="22">
        <f>D1709</f>
        <v>0</v>
      </c>
      <c r="E1708" s="22">
        <f>E1709</f>
        <v>214327.21638</v>
      </c>
      <c r="F1708" s="22">
        <f t="shared" si="928"/>
        <v>174484.61637999999</v>
      </c>
      <c r="G1708" s="22">
        <f t="shared" si="928"/>
        <v>174484.61637999999</v>
      </c>
      <c r="H1708" s="22">
        <f>H1709</f>
        <v>174484.61637999999</v>
      </c>
      <c r="I1708" s="9">
        <f t="shared" si="929"/>
        <v>81.410387036726377</v>
      </c>
      <c r="J1708" s="9">
        <f t="shared" si="930"/>
        <v>100</v>
      </c>
    </row>
    <row r="1709" spans="1:10" s="42" customFormat="1">
      <c r="A1709" s="8" t="s">
        <v>56</v>
      </c>
      <c r="B1709" s="24" t="s">
        <v>1205</v>
      </c>
      <c r="C1709" s="6">
        <v>520</v>
      </c>
      <c r="D1709" s="22">
        <f>ведомство!G2784</f>
        <v>0</v>
      </c>
      <c r="E1709" s="22">
        <f>ведомство!H2784</f>
        <v>214327.21638</v>
      </c>
      <c r="F1709" s="22">
        <f>ведомство!I2784</f>
        <v>174484.61637999999</v>
      </c>
      <c r="G1709" s="22">
        <f>ведомство!J2784</f>
        <v>174484.61637999999</v>
      </c>
      <c r="H1709" s="22">
        <f>ведомство!K2784</f>
        <v>174484.61637999999</v>
      </c>
      <c r="I1709" s="9">
        <f t="shared" si="929"/>
        <v>81.410387036726377</v>
      </c>
      <c r="J1709" s="9">
        <f t="shared" si="930"/>
        <v>100</v>
      </c>
    </row>
    <row r="1710" spans="1:10" ht="25.5">
      <c r="A1710" s="8" t="s">
        <v>58</v>
      </c>
      <c r="B1710" s="1" t="s">
        <v>1051</v>
      </c>
      <c r="C1710" s="1" t="s">
        <v>0</v>
      </c>
      <c r="D1710" s="9">
        <f>D1711+D1713</f>
        <v>9703</v>
      </c>
      <c r="E1710" s="9">
        <f>E1711+E1713</f>
        <v>10702.999999999998</v>
      </c>
      <c r="F1710" s="9">
        <f t="shared" ref="F1710:G1710" si="931">F1711+F1713</f>
        <v>8765.2000000000007</v>
      </c>
      <c r="G1710" s="9">
        <f t="shared" si="931"/>
        <v>8765.2000000000007</v>
      </c>
      <c r="H1710" s="9">
        <f>H1711+H1713</f>
        <v>8532.0877499999988</v>
      </c>
      <c r="I1710" s="9">
        <f t="shared" si="889"/>
        <v>79.716787349341317</v>
      </c>
      <c r="J1710" s="9">
        <f t="shared" si="890"/>
        <v>97.340479966230063</v>
      </c>
    </row>
    <row r="1711" spans="1:10" ht="51">
      <c r="A1711" s="8" t="s">
        <v>60</v>
      </c>
      <c r="B1711" s="1" t="s">
        <v>1051</v>
      </c>
      <c r="C1711" s="1" t="s">
        <v>61</v>
      </c>
      <c r="D1711" s="9">
        <f>D1712</f>
        <v>8570.2000000000007</v>
      </c>
      <c r="E1711" s="9">
        <f>E1712</f>
        <v>9570.1999999999989</v>
      </c>
      <c r="F1711" s="9">
        <f t="shared" ref="F1711:G1711" si="932">F1712</f>
        <v>7955.2</v>
      </c>
      <c r="G1711" s="9">
        <f t="shared" si="932"/>
        <v>7955.2</v>
      </c>
      <c r="H1711" s="9">
        <f>H1712</f>
        <v>7920.9154599999993</v>
      </c>
      <c r="I1711" s="9">
        <f t="shared" si="889"/>
        <v>82.766456918350713</v>
      </c>
      <c r="J1711" s="9">
        <f t="shared" si="890"/>
        <v>99.569029816975046</v>
      </c>
    </row>
    <row r="1712" spans="1:10" ht="25.5">
      <c r="A1712" s="8" t="s">
        <v>62</v>
      </c>
      <c r="B1712" s="1" t="s">
        <v>1051</v>
      </c>
      <c r="C1712" s="1" t="s">
        <v>63</v>
      </c>
      <c r="D1712" s="9">
        <f>ведомство!G2733</f>
        <v>8570.2000000000007</v>
      </c>
      <c r="E1712" s="9">
        <f>ведомство!H2733</f>
        <v>9570.1999999999989</v>
      </c>
      <c r="F1712" s="9">
        <f>ведомство!I2733</f>
        <v>7955.2</v>
      </c>
      <c r="G1712" s="9">
        <f>ведомство!J2733</f>
        <v>7955.2</v>
      </c>
      <c r="H1712" s="9">
        <f>ведомство!K2733</f>
        <v>7920.9154599999993</v>
      </c>
      <c r="I1712" s="9">
        <f t="shared" si="889"/>
        <v>82.766456918350713</v>
      </c>
      <c r="J1712" s="9">
        <f t="shared" si="890"/>
        <v>99.569029816975046</v>
      </c>
    </row>
    <row r="1713" spans="1:10" ht="25.5">
      <c r="A1713" s="8" t="s">
        <v>64</v>
      </c>
      <c r="B1713" s="1" t="s">
        <v>1051</v>
      </c>
      <c r="C1713" s="1" t="s">
        <v>65</v>
      </c>
      <c r="D1713" s="9">
        <f>D1714</f>
        <v>1132.8</v>
      </c>
      <c r="E1713" s="9">
        <f>E1714</f>
        <v>1132.8</v>
      </c>
      <c r="F1713" s="9">
        <f t="shared" ref="F1713:G1713" si="933">F1714</f>
        <v>810</v>
      </c>
      <c r="G1713" s="9">
        <f t="shared" si="933"/>
        <v>810</v>
      </c>
      <c r="H1713" s="9">
        <f>H1714</f>
        <v>611.17228999999998</v>
      </c>
      <c r="I1713" s="9">
        <f t="shared" si="889"/>
        <v>53.952356108757058</v>
      </c>
      <c r="J1713" s="9">
        <f t="shared" si="890"/>
        <v>75.453369135802461</v>
      </c>
    </row>
    <row r="1714" spans="1:10" ht="25.5">
      <c r="A1714" s="8" t="s">
        <v>66</v>
      </c>
      <c r="B1714" s="1" t="s">
        <v>1051</v>
      </c>
      <c r="C1714" s="1" t="s">
        <v>67</v>
      </c>
      <c r="D1714" s="9">
        <f>ведомство!G2735</f>
        <v>1132.8</v>
      </c>
      <c r="E1714" s="9">
        <f>ведомство!H2735</f>
        <v>1132.8</v>
      </c>
      <c r="F1714" s="9">
        <f>ведомство!I2735</f>
        <v>810</v>
      </c>
      <c r="G1714" s="9">
        <f>ведомство!J2735</f>
        <v>810</v>
      </c>
      <c r="H1714" s="9">
        <f>ведомство!K2735</f>
        <v>611.17228999999998</v>
      </c>
      <c r="I1714" s="9">
        <f t="shared" si="889"/>
        <v>53.952356108757058</v>
      </c>
      <c r="J1714" s="9">
        <f t="shared" si="890"/>
        <v>75.453369135802461</v>
      </c>
    </row>
    <row r="1715" spans="1:10" ht="25.5">
      <c r="A1715" s="8" t="s">
        <v>76</v>
      </c>
      <c r="B1715" s="1" t="s">
        <v>1054</v>
      </c>
      <c r="C1715" s="1" t="s">
        <v>0</v>
      </c>
      <c r="D1715" s="9">
        <f>D1716+D1718+D1720</f>
        <v>20047.900000000001</v>
      </c>
      <c r="E1715" s="9">
        <f>E1716+E1718+E1720+E1722</f>
        <v>24572.799999999996</v>
      </c>
      <c r="F1715" s="9">
        <f t="shared" ref="F1715:G1715" si="934">F1716+F1718+F1720+F1722</f>
        <v>8714.0299999999988</v>
      </c>
      <c r="G1715" s="9">
        <f t="shared" si="934"/>
        <v>8714.0299999999988</v>
      </c>
      <c r="H1715" s="9">
        <f>H1716+H1718+H1720+H1722</f>
        <v>8503.5635000000002</v>
      </c>
      <c r="I1715" s="9">
        <f t="shared" si="889"/>
        <v>34.605594397056919</v>
      </c>
      <c r="J1715" s="9">
        <f t="shared" si="890"/>
        <v>97.584739781708365</v>
      </c>
    </row>
    <row r="1716" spans="1:10" ht="51">
      <c r="A1716" s="8" t="s">
        <v>60</v>
      </c>
      <c r="B1716" s="1" t="s">
        <v>1054</v>
      </c>
      <c r="C1716" s="1" t="s">
        <v>61</v>
      </c>
      <c r="D1716" s="9">
        <f>D1717</f>
        <v>6233.8</v>
      </c>
      <c r="E1716" s="9">
        <f>E1717</f>
        <v>7702.2999999999993</v>
      </c>
      <c r="F1716" s="9">
        <f t="shared" ref="F1716:G1716" si="935">F1717</f>
        <v>5309.49</v>
      </c>
      <c r="G1716" s="9">
        <f t="shared" si="935"/>
        <v>5309.49</v>
      </c>
      <c r="H1716" s="9">
        <f>H1717</f>
        <v>5307.1696300000003</v>
      </c>
      <c r="I1716" s="9">
        <f t="shared" si="889"/>
        <v>68.903699284629283</v>
      </c>
      <c r="J1716" s="9">
        <f t="shared" si="890"/>
        <v>99.956297685841776</v>
      </c>
    </row>
    <row r="1717" spans="1:10">
      <c r="A1717" s="8" t="s">
        <v>78</v>
      </c>
      <c r="B1717" s="1" t="s">
        <v>1054</v>
      </c>
      <c r="C1717" s="1" t="s">
        <v>79</v>
      </c>
      <c r="D1717" s="9">
        <f>ведомство!G2765</f>
        <v>6233.8</v>
      </c>
      <c r="E1717" s="9">
        <f>ведомство!H2765</f>
        <v>7702.2999999999993</v>
      </c>
      <c r="F1717" s="9">
        <f>ведомство!I2765</f>
        <v>5309.49</v>
      </c>
      <c r="G1717" s="9">
        <f>ведомство!J2765</f>
        <v>5309.49</v>
      </c>
      <c r="H1717" s="9">
        <f>ведомство!K2765</f>
        <v>5307.1696300000003</v>
      </c>
      <c r="I1717" s="9">
        <f t="shared" si="889"/>
        <v>68.903699284629283</v>
      </c>
      <c r="J1717" s="9">
        <f t="shared" si="890"/>
        <v>99.956297685841776</v>
      </c>
    </row>
    <row r="1718" spans="1:10" ht="25.5">
      <c r="A1718" s="8" t="s">
        <v>64</v>
      </c>
      <c r="B1718" s="1" t="s">
        <v>1054</v>
      </c>
      <c r="C1718" s="1" t="s">
        <v>65</v>
      </c>
      <c r="D1718" s="9">
        <f>D1719</f>
        <v>11414.1</v>
      </c>
      <c r="E1718" s="9">
        <f>E1719</f>
        <v>14201.4</v>
      </c>
      <c r="F1718" s="9">
        <f t="shared" ref="F1718:G1718" si="936">F1719</f>
        <v>923.48</v>
      </c>
      <c r="G1718" s="9">
        <f t="shared" si="936"/>
        <v>923.48</v>
      </c>
      <c r="H1718" s="9">
        <f>H1719</f>
        <v>716.34646999999995</v>
      </c>
      <c r="I1718" s="9">
        <f t="shared" si="889"/>
        <v>5.0441961355922649</v>
      </c>
      <c r="J1718" s="9">
        <f t="shared" si="890"/>
        <v>77.570328539870914</v>
      </c>
    </row>
    <row r="1719" spans="1:10" ht="25.5">
      <c r="A1719" s="8" t="s">
        <v>66</v>
      </c>
      <c r="B1719" s="1" t="s">
        <v>1054</v>
      </c>
      <c r="C1719" s="1" t="s">
        <v>67</v>
      </c>
      <c r="D1719" s="9">
        <f>ведомство!G2767+ведомство!G2760+ведомство!G2750</f>
        <v>11414.1</v>
      </c>
      <c r="E1719" s="9">
        <f>ведомство!H2767+ведомство!H2760+ведомство!H2750</f>
        <v>14201.4</v>
      </c>
      <c r="F1719" s="9">
        <f>ведомство!I2767+ведомство!I2760+ведомство!I2750</f>
        <v>923.48</v>
      </c>
      <c r="G1719" s="9">
        <f>ведомство!J2767+ведомство!J2760+ведомство!J2750</f>
        <v>923.48</v>
      </c>
      <c r="H1719" s="9">
        <f>ведомство!K2767+ведомство!K2760+ведомство!K2750</f>
        <v>716.34646999999995</v>
      </c>
      <c r="I1719" s="9">
        <f t="shared" ref="I1719:I1785" si="937">H1719/E1719*100</f>
        <v>5.0441961355922649</v>
      </c>
      <c r="J1719" s="9">
        <f t="shared" ref="J1719:J1785" si="938">H1719/F1719*100</f>
        <v>77.570328539870914</v>
      </c>
    </row>
    <row r="1720" spans="1:10" ht="25.5">
      <c r="A1720" s="8" t="s">
        <v>80</v>
      </c>
      <c r="B1720" s="1" t="s">
        <v>1054</v>
      </c>
      <c r="C1720" s="1" t="s">
        <v>81</v>
      </c>
      <c r="D1720" s="9">
        <f>D1721</f>
        <v>2400</v>
      </c>
      <c r="E1720" s="9">
        <f>E1721</f>
        <v>2400</v>
      </c>
      <c r="F1720" s="9">
        <f t="shared" ref="F1720:G1720" si="939">F1721</f>
        <v>2400</v>
      </c>
      <c r="G1720" s="9">
        <f t="shared" si="939"/>
        <v>2400</v>
      </c>
      <c r="H1720" s="9">
        <f>H1721</f>
        <v>2400</v>
      </c>
      <c r="I1720" s="9">
        <f t="shared" si="937"/>
        <v>100</v>
      </c>
      <c r="J1720" s="9">
        <f t="shared" si="938"/>
        <v>100</v>
      </c>
    </row>
    <row r="1721" spans="1:10">
      <c r="A1721" s="8" t="s">
        <v>82</v>
      </c>
      <c r="B1721" s="1" t="s">
        <v>1054</v>
      </c>
      <c r="C1721" s="1" t="s">
        <v>83</v>
      </c>
      <c r="D1721" s="9">
        <f>ведомство!G2833</f>
        <v>2400</v>
      </c>
      <c r="E1721" s="9">
        <f>ведомство!H2833</f>
        <v>2400</v>
      </c>
      <c r="F1721" s="9">
        <f>ведомство!I2833</f>
        <v>2400</v>
      </c>
      <c r="G1721" s="9">
        <f>ведомство!J2833</f>
        <v>2400</v>
      </c>
      <c r="H1721" s="9">
        <f>ведомство!K2833</f>
        <v>2400</v>
      </c>
      <c r="I1721" s="9">
        <f t="shared" si="937"/>
        <v>100</v>
      </c>
      <c r="J1721" s="9">
        <f t="shared" si="938"/>
        <v>100</v>
      </c>
    </row>
    <row r="1722" spans="1:10" s="92" customFormat="1">
      <c r="A1722" s="8" t="s">
        <v>72</v>
      </c>
      <c r="B1722" s="1" t="s">
        <v>1054</v>
      </c>
      <c r="C1722" s="1">
        <v>800</v>
      </c>
      <c r="D1722" s="9"/>
      <c r="E1722" s="9">
        <f>E1723</f>
        <v>269.10000000000002</v>
      </c>
      <c r="F1722" s="9">
        <f t="shared" ref="F1722:G1722" si="940">F1723</f>
        <v>81.06</v>
      </c>
      <c r="G1722" s="9">
        <f t="shared" si="940"/>
        <v>81.06</v>
      </c>
      <c r="H1722" s="9">
        <f>H1723</f>
        <v>80.047399999999996</v>
      </c>
      <c r="I1722" s="9">
        <f t="shared" ref="I1722:I1723" si="941">H1722/E1722*100</f>
        <v>29.746339650687474</v>
      </c>
      <c r="J1722" s="9">
        <f t="shared" ref="J1722:J1723" si="942">H1722/F1722*100</f>
        <v>98.75080187515421</v>
      </c>
    </row>
    <row r="1723" spans="1:10" s="92" customFormat="1">
      <c r="A1723" s="8" t="s">
        <v>74</v>
      </c>
      <c r="B1723" s="1" t="s">
        <v>1054</v>
      </c>
      <c r="C1723" s="1">
        <v>850</v>
      </c>
      <c r="D1723" s="9"/>
      <c r="E1723" s="9">
        <f>ведомство!H2769</f>
        <v>269.10000000000002</v>
      </c>
      <c r="F1723" s="9">
        <f>ведомство!I2769</f>
        <v>81.06</v>
      </c>
      <c r="G1723" s="9">
        <f>ведомство!J2769</f>
        <v>81.06</v>
      </c>
      <c r="H1723" s="9">
        <f>ведомство!K2769</f>
        <v>80.047399999999996</v>
      </c>
      <c r="I1723" s="9">
        <f t="shared" si="941"/>
        <v>29.746339650687474</v>
      </c>
      <c r="J1723" s="9">
        <f t="shared" si="942"/>
        <v>98.75080187515421</v>
      </c>
    </row>
    <row r="1724" spans="1:10" ht="38.25">
      <c r="A1724" s="8" t="s">
        <v>37</v>
      </c>
      <c r="B1724" s="1" t="s">
        <v>1052</v>
      </c>
      <c r="C1724" s="1" t="s">
        <v>0</v>
      </c>
      <c r="D1724" s="9">
        <f>D1725</f>
        <v>17776.900000000001</v>
      </c>
      <c r="E1724" s="9">
        <f>E1725</f>
        <v>13251.9522</v>
      </c>
      <c r="F1724" s="9">
        <f t="shared" ref="F1724:G1725" si="943">F1725</f>
        <v>525.12242000000003</v>
      </c>
      <c r="G1724" s="9">
        <f t="shared" si="943"/>
        <v>525.12242000000003</v>
      </c>
      <c r="H1724" s="9">
        <f>H1725</f>
        <v>525.12242000000003</v>
      </c>
      <c r="I1724" s="9">
        <f t="shared" si="937"/>
        <v>3.9626042418112557</v>
      </c>
      <c r="J1724" s="9">
        <f t="shared" si="938"/>
        <v>100</v>
      </c>
    </row>
    <row r="1725" spans="1:10" ht="25.5">
      <c r="A1725" s="8" t="s">
        <v>39</v>
      </c>
      <c r="B1725" s="1" t="s">
        <v>1052</v>
      </c>
      <c r="C1725" s="1" t="s">
        <v>40</v>
      </c>
      <c r="D1725" s="9">
        <f>D1726</f>
        <v>17776.900000000001</v>
      </c>
      <c r="E1725" s="9">
        <f>E1726</f>
        <v>13251.9522</v>
      </c>
      <c r="F1725" s="9">
        <f t="shared" si="943"/>
        <v>525.12242000000003</v>
      </c>
      <c r="G1725" s="9">
        <f t="shared" si="943"/>
        <v>525.12242000000003</v>
      </c>
      <c r="H1725" s="9">
        <f>H1726</f>
        <v>525.12242000000003</v>
      </c>
      <c r="I1725" s="9">
        <f t="shared" si="937"/>
        <v>3.9626042418112557</v>
      </c>
      <c r="J1725" s="9">
        <f t="shared" si="938"/>
        <v>100</v>
      </c>
    </row>
    <row r="1726" spans="1:10">
      <c r="A1726" s="8" t="s">
        <v>41</v>
      </c>
      <c r="B1726" s="1" t="s">
        <v>1052</v>
      </c>
      <c r="C1726" s="1" t="s">
        <v>42</v>
      </c>
      <c r="D1726" s="9">
        <f>ведомство!G2738+ведомство!G2755+ведомство!G2776+ведомство!G2797</f>
        <v>17776.900000000001</v>
      </c>
      <c r="E1726" s="9">
        <f>ведомство!H2738+ведомство!H2755+ведомство!H2776+ведомство!H2797</f>
        <v>13251.9522</v>
      </c>
      <c r="F1726" s="9">
        <f>ведомство!I2738+ведомство!I2755+ведомство!I2776+ведомство!I2797</f>
        <v>525.12242000000003</v>
      </c>
      <c r="G1726" s="9">
        <f>ведомство!J2738+ведомство!J2755+ведомство!J2776+ведомство!J2797</f>
        <v>525.12242000000003</v>
      </c>
      <c r="H1726" s="9">
        <f>ведомство!K2738+ведомство!K2755+ведомство!K2776+ведомство!K2797</f>
        <v>525.12242000000003</v>
      </c>
      <c r="I1726" s="9">
        <f t="shared" si="937"/>
        <v>3.9626042418112557</v>
      </c>
      <c r="J1726" s="9">
        <f t="shared" si="938"/>
        <v>100</v>
      </c>
    </row>
    <row r="1727" spans="1:10" ht="25.5">
      <c r="A1727" s="8" t="s">
        <v>107</v>
      </c>
      <c r="B1727" s="1" t="s">
        <v>1057</v>
      </c>
      <c r="C1727" s="1" t="s">
        <v>0</v>
      </c>
      <c r="D1727" s="9">
        <f>D1728</f>
        <v>40794</v>
      </c>
      <c r="E1727" s="9">
        <f>E1728</f>
        <v>40794.038330000003</v>
      </c>
      <c r="F1727" s="9">
        <f t="shared" ref="F1727:G1728" si="944">F1728</f>
        <v>11880.51958</v>
      </c>
      <c r="G1727" s="9">
        <f t="shared" si="944"/>
        <v>11880.51958</v>
      </c>
      <c r="H1727" s="9">
        <f>H1728</f>
        <v>11880.51958</v>
      </c>
      <c r="I1727" s="9">
        <f t="shared" si="937"/>
        <v>29.123175999133792</v>
      </c>
      <c r="J1727" s="9">
        <f t="shared" si="938"/>
        <v>100</v>
      </c>
    </row>
    <row r="1728" spans="1:10">
      <c r="A1728" s="8" t="s">
        <v>26</v>
      </c>
      <c r="B1728" s="1" t="s">
        <v>1057</v>
      </c>
      <c r="C1728" s="1" t="s">
        <v>27</v>
      </c>
      <c r="D1728" s="9">
        <f>D1729</f>
        <v>40794</v>
      </c>
      <c r="E1728" s="9">
        <f>E1729</f>
        <v>40794.038330000003</v>
      </c>
      <c r="F1728" s="9">
        <f t="shared" si="944"/>
        <v>11880.51958</v>
      </c>
      <c r="G1728" s="9">
        <f t="shared" si="944"/>
        <v>11880.51958</v>
      </c>
      <c r="H1728" s="9">
        <f>H1729</f>
        <v>11880.51958</v>
      </c>
      <c r="I1728" s="9">
        <f t="shared" si="937"/>
        <v>29.123175999133792</v>
      </c>
      <c r="J1728" s="9">
        <f t="shared" si="938"/>
        <v>100</v>
      </c>
    </row>
    <row r="1729" spans="1:10">
      <c r="A1729" s="8" t="s">
        <v>56</v>
      </c>
      <c r="B1729" s="1" t="s">
        <v>1057</v>
      </c>
      <c r="C1729" s="1" t="s">
        <v>57</v>
      </c>
      <c r="D1729" s="9">
        <f>ведомство!G2787</f>
        <v>40794</v>
      </c>
      <c r="E1729" s="9">
        <f>ведомство!H2787</f>
        <v>40794.038330000003</v>
      </c>
      <c r="F1729" s="9">
        <f>ведомство!I2787</f>
        <v>11880.51958</v>
      </c>
      <c r="G1729" s="9">
        <f>ведомство!J2787</f>
        <v>11880.51958</v>
      </c>
      <c r="H1729" s="9">
        <f>ведомство!K2787</f>
        <v>11880.51958</v>
      </c>
      <c r="I1729" s="9">
        <f t="shared" si="937"/>
        <v>29.123175999133792</v>
      </c>
      <c r="J1729" s="9">
        <f t="shared" si="938"/>
        <v>100</v>
      </c>
    </row>
    <row r="1730" spans="1:10" ht="25.5">
      <c r="A1730" s="8" t="s">
        <v>617</v>
      </c>
      <c r="B1730" s="1" t="s">
        <v>1053</v>
      </c>
      <c r="C1730" s="1" t="s">
        <v>0</v>
      </c>
      <c r="D1730" s="9">
        <f>D1731+D1733</f>
        <v>7312</v>
      </c>
      <c r="E1730" s="9">
        <f>E1731+E1733</f>
        <v>6312</v>
      </c>
      <c r="F1730" s="9">
        <f t="shared" ref="F1730:G1730" si="945">F1731+F1733</f>
        <v>6312</v>
      </c>
      <c r="G1730" s="9">
        <f t="shared" si="945"/>
        <v>6154.5</v>
      </c>
      <c r="H1730" s="9">
        <f>H1731+H1733</f>
        <v>6154.5</v>
      </c>
      <c r="I1730" s="9">
        <f t="shared" si="937"/>
        <v>97.504752851711032</v>
      </c>
      <c r="J1730" s="9">
        <f t="shared" si="938"/>
        <v>97.504752851711032</v>
      </c>
    </row>
    <row r="1731" spans="1:10" ht="25.5">
      <c r="A1731" s="8" t="s">
        <v>64</v>
      </c>
      <c r="B1731" s="1" t="s">
        <v>1053</v>
      </c>
      <c r="C1731" s="1" t="s">
        <v>65</v>
      </c>
      <c r="D1731" s="9">
        <f>D1732</f>
        <v>5612</v>
      </c>
      <c r="E1731" s="9">
        <f>E1732</f>
        <v>4612</v>
      </c>
      <c r="F1731" s="9">
        <f t="shared" ref="F1731:G1731" si="946">F1732</f>
        <v>4612</v>
      </c>
      <c r="G1731" s="9">
        <f t="shared" si="946"/>
        <v>4454.5</v>
      </c>
      <c r="H1731" s="9">
        <f>H1732</f>
        <v>4454.5</v>
      </c>
      <c r="I1731" s="9">
        <f t="shared" si="937"/>
        <v>96.584995663486566</v>
      </c>
      <c r="J1731" s="9">
        <f t="shared" si="938"/>
        <v>96.584995663486566</v>
      </c>
    </row>
    <row r="1732" spans="1:10" ht="25.5">
      <c r="A1732" s="8" t="s">
        <v>66</v>
      </c>
      <c r="B1732" s="1" t="s">
        <v>1053</v>
      </c>
      <c r="C1732" s="1" t="s">
        <v>67</v>
      </c>
      <c r="D1732" s="9">
        <f>ведомство!G2741</f>
        <v>5612</v>
      </c>
      <c r="E1732" s="9">
        <f>ведомство!H2741</f>
        <v>4612</v>
      </c>
      <c r="F1732" s="9">
        <f>ведомство!I2741</f>
        <v>4612</v>
      </c>
      <c r="G1732" s="9">
        <f>ведомство!J2741</f>
        <v>4454.5</v>
      </c>
      <c r="H1732" s="9">
        <f>ведомство!K2741</f>
        <v>4454.5</v>
      </c>
      <c r="I1732" s="9">
        <f t="shared" si="937"/>
        <v>96.584995663486566</v>
      </c>
      <c r="J1732" s="9">
        <f t="shared" si="938"/>
        <v>96.584995663486566</v>
      </c>
    </row>
    <row r="1733" spans="1:10" ht="25.5">
      <c r="A1733" s="8" t="s">
        <v>80</v>
      </c>
      <c r="B1733" s="1" t="s">
        <v>1053</v>
      </c>
      <c r="C1733" s="1" t="s">
        <v>81</v>
      </c>
      <c r="D1733" s="9">
        <f>D1734</f>
        <v>1700</v>
      </c>
      <c r="E1733" s="9">
        <f>E1734</f>
        <v>1700</v>
      </c>
      <c r="F1733" s="9">
        <f t="shared" ref="F1733:G1733" si="947">F1734</f>
        <v>1700</v>
      </c>
      <c r="G1733" s="9">
        <f t="shared" si="947"/>
        <v>1700</v>
      </c>
      <c r="H1733" s="9">
        <f>H1734</f>
        <v>1700</v>
      </c>
      <c r="I1733" s="9">
        <f t="shared" si="937"/>
        <v>100</v>
      </c>
      <c r="J1733" s="9">
        <f t="shared" si="938"/>
        <v>100</v>
      </c>
    </row>
    <row r="1734" spans="1:10" ht="25.5">
      <c r="A1734" s="8" t="s">
        <v>195</v>
      </c>
      <c r="B1734" s="1" t="s">
        <v>1053</v>
      </c>
      <c r="C1734" s="1" t="s">
        <v>196</v>
      </c>
      <c r="D1734" s="9">
        <f>ведомство!G2743</f>
        <v>1700</v>
      </c>
      <c r="E1734" s="9">
        <f>ведомство!H2743</f>
        <v>1700</v>
      </c>
      <c r="F1734" s="9">
        <f>ведомство!I2743</f>
        <v>1700</v>
      </c>
      <c r="G1734" s="9">
        <f>ведомство!J2743</f>
        <v>1700</v>
      </c>
      <c r="H1734" s="9">
        <f>ведомство!K2743</f>
        <v>1700</v>
      </c>
      <c r="I1734" s="9">
        <f t="shared" si="937"/>
        <v>100</v>
      </c>
      <c r="J1734" s="9">
        <f t="shared" si="938"/>
        <v>100</v>
      </c>
    </row>
    <row r="1735" spans="1:10" ht="38.25">
      <c r="A1735" s="8" t="s">
        <v>1055</v>
      </c>
      <c r="B1735" s="1" t="s">
        <v>1056</v>
      </c>
      <c r="C1735" s="1" t="s">
        <v>0</v>
      </c>
      <c r="D1735" s="9">
        <f>D1736</f>
        <v>3200</v>
      </c>
      <c r="E1735" s="9">
        <f>E1736</f>
        <v>3200</v>
      </c>
      <c r="F1735" s="9">
        <f t="shared" ref="F1735:G1736" si="948">F1736</f>
        <v>0</v>
      </c>
      <c r="G1735" s="9">
        <f t="shared" si="948"/>
        <v>0</v>
      </c>
      <c r="H1735" s="9">
        <f>H1736</f>
        <v>0</v>
      </c>
      <c r="I1735" s="9">
        <f t="shared" si="937"/>
        <v>0</v>
      </c>
      <c r="J1735" s="9">
        <v>0</v>
      </c>
    </row>
    <row r="1736" spans="1:10">
      <c r="A1736" s="8" t="s">
        <v>26</v>
      </c>
      <c r="B1736" s="1" t="s">
        <v>1056</v>
      </c>
      <c r="C1736" s="1" t="s">
        <v>27</v>
      </c>
      <c r="D1736" s="9">
        <f>D1737</f>
        <v>3200</v>
      </c>
      <c r="E1736" s="9">
        <f>E1737</f>
        <v>3200</v>
      </c>
      <c r="F1736" s="9">
        <f t="shared" si="948"/>
        <v>0</v>
      </c>
      <c r="G1736" s="9">
        <f t="shared" si="948"/>
        <v>0</v>
      </c>
      <c r="H1736" s="9">
        <f>H1737</f>
        <v>0</v>
      </c>
      <c r="I1736" s="9">
        <f t="shared" si="937"/>
        <v>0</v>
      </c>
      <c r="J1736" s="9">
        <v>0</v>
      </c>
    </row>
    <row r="1737" spans="1:10">
      <c r="A1737" s="8" t="s">
        <v>56</v>
      </c>
      <c r="B1737" s="1" t="s">
        <v>1056</v>
      </c>
      <c r="C1737" s="1" t="s">
        <v>57</v>
      </c>
      <c r="D1737" s="9">
        <f>ведомство!G2779</f>
        <v>3200</v>
      </c>
      <c r="E1737" s="9">
        <f>ведомство!H2779</f>
        <v>3200</v>
      </c>
      <c r="F1737" s="9">
        <f>ведомство!I2779</f>
        <v>0</v>
      </c>
      <c r="G1737" s="9">
        <f>ведомство!J2779</f>
        <v>0</v>
      </c>
      <c r="H1737" s="9">
        <f>ведомство!K2779</f>
        <v>0</v>
      </c>
      <c r="I1737" s="9">
        <f t="shared" si="937"/>
        <v>0</v>
      </c>
      <c r="J1737" s="9">
        <v>0</v>
      </c>
    </row>
    <row r="1738" spans="1:10" ht="51">
      <c r="A1738" s="8" t="s">
        <v>184</v>
      </c>
      <c r="B1738" s="1" t="s">
        <v>1058</v>
      </c>
      <c r="C1738" s="1" t="s">
        <v>0</v>
      </c>
      <c r="D1738" s="9">
        <f>D1739</f>
        <v>7250</v>
      </c>
      <c r="E1738" s="9">
        <f>E1739</f>
        <v>7250</v>
      </c>
      <c r="F1738" s="9">
        <f t="shared" ref="F1738:G1739" si="949">F1739</f>
        <v>2759.5846200000001</v>
      </c>
      <c r="G1738" s="9">
        <f t="shared" si="949"/>
        <v>2759.5846200000001</v>
      </c>
      <c r="H1738" s="9">
        <f>H1739</f>
        <v>2759.5846200000001</v>
      </c>
      <c r="I1738" s="9">
        <f t="shared" si="937"/>
        <v>38.063236137931035</v>
      </c>
      <c r="J1738" s="9">
        <f t="shared" si="938"/>
        <v>100</v>
      </c>
    </row>
    <row r="1739" spans="1:10">
      <c r="A1739" s="8" t="s">
        <v>26</v>
      </c>
      <c r="B1739" s="1" t="s">
        <v>1058</v>
      </c>
      <c r="C1739" s="1" t="s">
        <v>27</v>
      </c>
      <c r="D1739" s="9">
        <f>D1740</f>
        <v>7250</v>
      </c>
      <c r="E1739" s="9">
        <f>E1740</f>
        <v>7250</v>
      </c>
      <c r="F1739" s="9">
        <f t="shared" si="949"/>
        <v>2759.5846200000001</v>
      </c>
      <c r="G1739" s="9">
        <f t="shared" si="949"/>
        <v>2759.5846200000001</v>
      </c>
      <c r="H1739" s="9">
        <f>H1740</f>
        <v>2759.5846200000001</v>
      </c>
      <c r="I1739" s="9">
        <f t="shared" si="937"/>
        <v>38.063236137931035</v>
      </c>
      <c r="J1739" s="9">
        <f t="shared" si="938"/>
        <v>100</v>
      </c>
    </row>
    <row r="1740" spans="1:10">
      <c r="A1740" s="8" t="s">
        <v>56</v>
      </c>
      <c r="B1740" s="1" t="s">
        <v>1058</v>
      </c>
      <c r="C1740" s="1" t="s">
        <v>57</v>
      </c>
      <c r="D1740" s="9">
        <f>ведомство!G2790</f>
        <v>7250</v>
      </c>
      <c r="E1740" s="9">
        <f>ведомство!H2790</f>
        <v>7250</v>
      </c>
      <c r="F1740" s="9">
        <f>ведомство!I2790</f>
        <v>2759.5846200000001</v>
      </c>
      <c r="G1740" s="9">
        <f>ведомство!J2790</f>
        <v>2759.5846200000001</v>
      </c>
      <c r="H1740" s="9">
        <f>ведомство!K2790</f>
        <v>2759.5846200000001</v>
      </c>
      <c r="I1740" s="9">
        <f t="shared" si="937"/>
        <v>38.063236137931035</v>
      </c>
      <c r="J1740" s="9">
        <f t="shared" si="938"/>
        <v>100</v>
      </c>
    </row>
    <row r="1741" spans="1:10">
      <c r="A1741" s="4" t="s">
        <v>0</v>
      </c>
      <c r="B1741" s="17" t="s">
        <v>0</v>
      </c>
      <c r="C1741" s="5" t="s">
        <v>0</v>
      </c>
      <c r="D1741" s="7" t="s">
        <v>0</v>
      </c>
      <c r="E1741" s="7" t="s">
        <v>0</v>
      </c>
      <c r="F1741" s="7" t="s">
        <v>0</v>
      </c>
      <c r="G1741" s="7" t="s">
        <v>0</v>
      </c>
      <c r="H1741" s="7" t="s">
        <v>0</v>
      </c>
      <c r="I1741" s="7"/>
      <c r="J1741" s="7"/>
    </row>
    <row r="1742" spans="1:10" ht="38.25">
      <c r="A1742" s="4" t="s">
        <v>898</v>
      </c>
      <c r="B1742" s="5" t="s">
        <v>899</v>
      </c>
      <c r="C1742" s="5" t="s">
        <v>0</v>
      </c>
      <c r="D1742" s="7">
        <f>D1743+D1751</f>
        <v>56450.8</v>
      </c>
      <c r="E1742" s="7">
        <f>E1743+E1751</f>
        <v>56384.744930000001</v>
      </c>
      <c r="F1742" s="7">
        <f t="shared" ref="F1742:G1742" si="950">F1743+F1751</f>
        <v>43203.744930000001</v>
      </c>
      <c r="G1742" s="7">
        <f t="shared" si="950"/>
        <v>43203.744930000001</v>
      </c>
      <c r="H1742" s="7">
        <f>H1743+H1751</f>
        <v>38326.621419999996</v>
      </c>
      <c r="I1742" s="7">
        <f t="shared" si="937"/>
        <v>67.973387957294776</v>
      </c>
      <c r="J1742" s="7">
        <f t="shared" si="938"/>
        <v>88.711340838850745</v>
      </c>
    </row>
    <row r="1743" spans="1:10" ht="25.5">
      <c r="A1743" s="8" t="s">
        <v>58</v>
      </c>
      <c r="B1743" s="1" t="s">
        <v>900</v>
      </c>
      <c r="C1743" s="1" t="s">
        <v>0</v>
      </c>
      <c r="D1743" s="9">
        <f>D1744+D1746+D1748</f>
        <v>52558.9</v>
      </c>
      <c r="E1743" s="9">
        <f>E1744+E1746+E1748</f>
        <v>52558.9</v>
      </c>
      <c r="F1743" s="9">
        <f t="shared" ref="F1743:G1743" si="951">F1744+F1746+F1748</f>
        <v>41827.9</v>
      </c>
      <c r="G1743" s="9">
        <f t="shared" si="951"/>
        <v>41827.9</v>
      </c>
      <c r="H1743" s="9">
        <f>H1744+H1746+H1748</f>
        <v>37672.119939999997</v>
      </c>
      <c r="I1743" s="9">
        <f t="shared" si="937"/>
        <v>71.676005281693477</v>
      </c>
      <c r="J1743" s="9">
        <f t="shared" si="938"/>
        <v>90.064573980524955</v>
      </c>
    </row>
    <row r="1744" spans="1:10" ht="51">
      <c r="A1744" s="8" t="s">
        <v>60</v>
      </c>
      <c r="B1744" s="1" t="s">
        <v>900</v>
      </c>
      <c r="C1744" s="1" t="s">
        <v>61</v>
      </c>
      <c r="D1744" s="9">
        <f>D1745</f>
        <v>50186.5</v>
      </c>
      <c r="E1744" s="9">
        <f>E1745</f>
        <v>50186.5</v>
      </c>
      <c r="F1744" s="9">
        <f t="shared" ref="F1744:G1744" si="952">F1745</f>
        <v>39953.9</v>
      </c>
      <c r="G1744" s="9">
        <f t="shared" si="952"/>
        <v>39953.9</v>
      </c>
      <c r="H1744" s="9">
        <f>H1745</f>
        <v>36474.580829999999</v>
      </c>
      <c r="I1744" s="9">
        <f t="shared" si="937"/>
        <v>72.678072449762382</v>
      </c>
      <c r="J1744" s="9">
        <f t="shared" si="938"/>
        <v>91.291665719741999</v>
      </c>
    </row>
    <row r="1745" spans="1:10" ht="25.5">
      <c r="A1745" s="8" t="s">
        <v>62</v>
      </c>
      <c r="B1745" s="1" t="s">
        <v>900</v>
      </c>
      <c r="C1745" s="1" t="s">
        <v>63</v>
      </c>
      <c r="D1745" s="9">
        <f>ведомство!G2241</f>
        <v>50186.5</v>
      </c>
      <c r="E1745" s="9">
        <f>ведомство!H2241</f>
        <v>50186.5</v>
      </c>
      <c r="F1745" s="9">
        <f>ведомство!I2241</f>
        <v>39953.9</v>
      </c>
      <c r="G1745" s="9">
        <f>ведомство!J2241</f>
        <v>39953.9</v>
      </c>
      <c r="H1745" s="9">
        <f>ведомство!K2241</f>
        <v>36474.580829999999</v>
      </c>
      <c r="I1745" s="9">
        <f t="shared" si="937"/>
        <v>72.678072449762382</v>
      </c>
      <c r="J1745" s="9">
        <f t="shared" si="938"/>
        <v>91.291665719741999</v>
      </c>
    </row>
    <row r="1746" spans="1:10" ht="25.5">
      <c r="A1746" s="8" t="s">
        <v>64</v>
      </c>
      <c r="B1746" s="1" t="s">
        <v>900</v>
      </c>
      <c r="C1746" s="1" t="s">
        <v>65</v>
      </c>
      <c r="D1746" s="9">
        <f>D1747</f>
        <v>2228.4</v>
      </c>
      <c r="E1746" s="9">
        <f>E1747</f>
        <v>2228.4</v>
      </c>
      <c r="F1746" s="9">
        <f t="shared" ref="F1746:G1746" si="953">F1747</f>
        <v>1765</v>
      </c>
      <c r="G1746" s="9">
        <f t="shared" si="953"/>
        <v>1765</v>
      </c>
      <c r="H1746" s="9">
        <f>H1747</f>
        <v>1093.7718600000001</v>
      </c>
      <c r="I1746" s="9">
        <f t="shared" si="937"/>
        <v>49.083282175551965</v>
      </c>
      <c r="J1746" s="9">
        <f t="shared" si="938"/>
        <v>61.970077053824369</v>
      </c>
    </row>
    <row r="1747" spans="1:10" ht="25.5">
      <c r="A1747" s="8" t="s">
        <v>66</v>
      </c>
      <c r="B1747" s="1" t="s">
        <v>900</v>
      </c>
      <c r="C1747" s="1" t="s">
        <v>67</v>
      </c>
      <c r="D1747" s="9">
        <f>ведомство!G2243</f>
        <v>2228.4</v>
      </c>
      <c r="E1747" s="9">
        <f>ведомство!H2243</f>
        <v>2228.4</v>
      </c>
      <c r="F1747" s="9">
        <f>ведомство!I2243</f>
        <v>1765</v>
      </c>
      <c r="G1747" s="9">
        <f>ведомство!J2243</f>
        <v>1765</v>
      </c>
      <c r="H1747" s="9">
        <f>ведомство!K2243</f>
        <v>1093.7718600000001</v>
      </c>
      <c r="I1747" s="9">
        <f t="shared" si="937"/>
        <v>49.083282175551965</v>
      </c>
      <c r="J1747" s="9">
        <f t="shared" si="938"/>
        <v>61.970077053824369</v>
      </c>
    </row>
    <row r="1748" spans="1:10">
      <c r="A1748" s="8" t="s">
        <v>72</v>
      </c>
      <c r="B1748" s="1" t="s">
        <v>900</v>
      </c>
      <c r="C1748" s="1" t="s">
        <v>73</v>
      </c>
      <c r="D1748" s="9">
        <f>D1749+D1750</f>
        <v>144</v>
      </c>
      <c r="E1748" s="9">
        <f>E1749+E1750</f>
        <v>144</v>
      </c>
      <c r="F1748" s="9">
        <f t="shared" ref="F1748:G1748" si="954">F1749+F1750</f>
        <v>109</v>
      </c>
      <c r="G1748" s="9">
        <f t="shared" si="954"/>
        <v>109</v>
      </c>
      <c r="H1748" s="9">
        <f>H1749+H1750</f>
        <v>103.76724999999999</v>
      </c>
      <c r="I1748" s="9">
        <f t="shared" si="937"/>
        <v>72.060590277777763</v>
      </c>
      <c r="J1748" s="9">
        <f t="shared" si="938"/>
        <v>95.199311926605489</v>
      </c>
    </row>
    <row r="1749" spans="1:10">
      <c r="A1749" s="8" t="s">
        <v>84</v>
      </c>
      <c r="B1749" s="1" t="s">
        <v>900</v>
      </c>
      <c r="C1749" s="1" t="s">
        <v>85</v>
      </c>
      <c r="D1749" s="9">
        <f>ведомство!G2245</f>
        <v>140</v>
      </c>
      <c r="E1749" s="9">
        <f>ведомство!H2245</f>
        <v>140</v>
      </c>
      <c r="F1749" s="9">
        <f>ведомство!I2245</f>
        <v>105</v>
      </c>
      <c r="G1749" s="9">
        <f>ведомство!J2245</f>
        <v>105</v>
      </c>
      <c r="H1749" s="9">
        <f>ведомство!K2245</f>
        <v>102.69613</v>
      </c>
      <c r="I1749" s="9">
        <f t="shared" si="937"/>
        <v>73.354378571428569</v>
      </c>
      <c r="J1749" s="9">
        <f t="shared" si="938"/>
        <v>97.805838095238101</v>
      </c>
    </row>
    <row r="1750" spans="1:10">
      <c r="A1750" s="8" t="s">
        <v>74</v>
      </c>
      <c r="B1750" s="1" t="s">
        <v>900</v>
      </c>
      <c r="C1750" s="1" t="s">
        <v>75</v>
      </c>
      <c r="D1750" s="9">
        <f>ведомство!G2246</f>
        <v>4</v>
      </c>
      <c r="E1750" s="9">
        <f>ведомство!H2246</f>
        <v>4</v>
      </c>
      <c r="F1750" s="9">
        <f>ведомство!I2246</f>
        <v>4</v>
      </c>
      <c r="G1750" s="9">
        <f>ведомство!J2246</f>
        <v>4</v>
      </c>
      <c r="H1750" s="9">
        <f>ведомство!K2246</f>
        <v>1.0711200000000001</v>
      </c>
      <c r="I1750" s="9">
        <f t="shared" si="937"/>
        <v>26.778000000000002</v>
      </c>
      <c r="J1750" s="9">
        <f t="shared" si="938"/>
        <v>26.778000000000002</v>
      </c>
    </row>
    <row r="1751" spans="1:10">
      <c r="A1751" s="8" t="s">
        <v>609</v>
      </c>
      <c r="B1751" s="1" t="s">
        <v>901</v>
      </c>
      <c r="C1751" s="1" t="s">
        <v>0</v>
      </c>
      <c r="D1751" s="9">
        <f t="shared" ref="D1751:H1752" si="955">D1752</f>
        <v>3891.9</v>
      </c>
      <c r="E1751" s="9">
        <f t="shared" si="955"/>
        <v>3825.8449300000002</v>
      </c>
      <c r="F1751" s="9">
        <f t="shared" si="955"/>
        <v>1375.84493</v>
      </c>
      <c r="G1751" s="9">
        <f t="shared" si="955"/>
        <v>1375.84493</v>
      </c>
      <c r="H1751" s="9">
        <f t="shared" si="955"/>
        <v>654.50148000000002</v>
      </c>
      <c r="I1751" s="9">
        <f t="shared" si="937"/>
        <v>17.1073708416091</v>
      </c>
      <c r="J1751" s="9">
        <f t="shared" si="938"/>
        <v>47.570875592789378</v>
      </c>
    </row>
    <row r="1752" spans="1:10" ht="25.5">
      <c r="A1752" s="8" t="s">
        <v>64</v>
      </c>
      <c r="B1752" s="1" t="s">
        <v>901</v>
      </c>
      <c r="C1752" s="1" t="s">
        <v>65</v>
      </c>
      <c r="D1752" s="9">
        <f t="shared" si="955"/>
        <v>3891.9</v>
      </c>
      <c r="E1752" s="9">
        <f t="shared" si="955"/>
        <v>3825.8449300000002</v>
      </c>
      <c r="F1752" s="9">
        <f t="shared" si="955"/>
        <v>1375.84493</v>
      </c>
      <c r="G1752" s="9">
        <f t="shared" si="955"/>
        <v>1375.84493</v>
      </c>
      <c r="H1752" s="9">
        <f t="shared" si="955"/>
        <v>654.50148000000002</v>
      </c>
      <c r="I1752" s="9">
        <f t="shared" si="937"/>
        <v>17.1073708416091</v>
      </c>
      <c r="J1752" s="9">
        <f t="shared" si="938"/>
        <v>47.570875592789378</v>
      </c>
    </row>
    <row r="1753" spans="1:10" ht="25.5">
      <c r="A1753" s="8" t="s">
        <v>66</v>
      </c>
      <c r="B1753" s="1" t="s">
        <v>901</v>
      </c>
      <c r="C1753" s="1" t="s">
        <v>67</v>
      </c>
      <c r="D1753" s="9">
        <f>ведомство!G2249</f>
        <v>3891.9</v>
      </c>
      <c r="E1753" s="9">
        <f>ведомство!H2249</f>
        <v>3825.8449300000002</v>
      </c>
      <c r="F1753" s="9">
        <f>ведомство!I2249</f>
        <v>1375.84493</v>
      </c>
      <c r="G1753" s="9">
        <f>ведомство!J2249</f>
        <v>1375.84493</v>
      </c>
      <c r="H1753" s="9">
        <f>ведомство!K2249</f>
        <v>654.50148000000002</v>
      </c>
      <c r="I1753" s="9">
        <f t="shared" si="937"/>
        <v>17.1073708416091</v>
      </c>
      <c r="J1753" s="9">
        <f t="shared" si="938"/>
        <v>47.570875592789378</v>
      </c>
    </row>
    <row r="1754" spans="1:10">
      <c r="A1754" s="4" t="s">
        <v>0</v>
      </c>
      <c r="B1754" s="17" t="s">
        <v>0</v>
      </c>
      <c r="C1754" s="5" t="s">
        <v>0</v>
      </c>
      <c r="D1754" s="7" t="s">
        <v>0</v>
      </c>
      <c r="E1754" s="7" t="s">
        <v>0</v>
      </c>
      <c r="F1754" s="7" t="s">
        <v>0</v>
      </c>
      <c r="G1754" s="7" t="s">
        <v>0</v>
      </c>
      <c r="H1754" s="7" t="s">
        <v>0</v>
      </c>
      <c r="I1754" s="7"/>
      <c r="J1754" s="7"/>
    </row>
    <row r="1755" spans="1:10" ht="38.25">
      <c r="A1755" s="4" t="s">
        <v>596</v>
      </c>
      <c r="B1755" s="5" t="s">
        <v>597</v>
      </c>
      <c r="C1755" s="5" t="s">
        <v>0</v>
      </c>
      <c r="D1755" s="7">
        <f>D1756+D1792+D1801+D1819</f>
        <v>5030235.0999999996</v>
      </c>
      <c r="E1755" s="7">
        <f>E1756+E1792+E1801+E1819</f>
        <v>5030235.0999999996</v>
      </c>
      <c r="F1755" s="7">
        <f t="shared" ref="F1755:G1755" si="956">F1756+F1792+F1801+F1819</f>
        <v>3508799.8846900002</v>
      </c>
      <c r="G1755" s="7">
        <f t="shared" si="956"/>
        <v>3506895.12837</v>
      </c>
      <c r="H1755" s="7">
        <f>H1756+H1792+H1801+H1819</f>
        <v>3494170.7123400001</v>
      </c>
      <c r="I1755" s="7">
        <f t="shared" si="937"/>
        <v>69.463367872010608</v>
      </c>
      <c r="J1755" s="7">
        <f t="shared" si="938"/>
        <v>99.583071909748071</v>
      </c>
    </row>
    <row r="1756" spans="1:10" ht="38.25">
      <c r="A1756" s="4" t="s">
        <v>598</v>
      </c>
      <c r="B1756" s="5" t="s">
        <v>599</v>
      </c>
      <c r="C1756" s="5" t="s">
        <v>0</v>
      </c>
      <c r="D1756" s="23">
        <f>D1757+D1760+D1763+D1772+D1779+D1782+D1785+D1788</f>
        <v>195047.69999999998</v>
      </c>
      <c r="E1756" s="23">
        <f>E1757+E1760+E1763+E1772+E1779+E1782+E1785+E1788</f>
        <v>195047.69999999998</v>
      </c>
      <c r="F1756" s="23">
        <f t="shared" ref="F1756:G1756" si="957">F1757+F1760+F1763+F1772+F1779+F1782+F1785+F1788</f>
        <v>148536.68748000002</v>
      </c>
      <c r="G1756" s="23">
        <f t="shared" si="957"/>
        <v>146631.93116000001</v>
      </c>
      <c r="H1756" s="23">
        <f>H1757+H1760+H1763+H1772+H1779+H1782+H1785+H1788</f>
        <v>135403.73856999999</v>
      </c>
      <c r="I1756" s="7">
        <f t="shared" si="937"/>
        <v>69.420833247456898</v>
      </c>
      <c r="J1756" s="7">
        <f t="shared" si="938"/>
        <v>91.158447698809525</v>
      </c>
    </row>
    <row r="1757" spans="1:10" ht="25.5">
      <c r="A1757" s="8" t="s">
        <v>624</v>
      </c>
      <c r="B1757" s="1" t="s">
        <v>625</v>
      </c>
      <c r="C1757" s="1" t="s">
        <v>0</v>
      </c>
      <c r="D1757" s="9">
        <f>D1758</f>
        <v>31272.5</v>
      </c>
      <c r="E1757" s="9">
        <f>E1758</f>
        <v>31272.5</v>
      </c>
      <c r="F1757" s="9">
        <f t="shared" ref="F1757:G1758" si="958">F1758</f>
        <v>26581.599999999999</v>
      </c>
      <c r="G1757" s="9">
        <f t="shared" si="958"/>
        <v>26581.599999999999</v>
      </c>
      <c r="H1757" s="9">
        <f>H1758</f>
        <v>24100.8135</v>
      </c>
      <c r="I1757" s="9">
        <f t="shared" si="937"/>
        <v>77.067114877288361</v>
      </c>
      <c r="J1757" s="9">
        <f t="shared" si="938"/>
        <v>90.667279245794091</v>
      </c>
    </row>
    <row r="1758" spans="1:10">
      <c r="A1758" s="8" t="s">
        <v>26</v>
      </c>
      <c r="B1758" s="1" t="s">
        <v>625</v>
      </c>
      <c r="C1758" s="1" t="s">
        <v>27</v>
      </c>
      <c r="D1758" s="9">
        <f>D1759</f>
        <v>31272.5</v>
      </c>
      <c r="E1758" s="9">
        <f>E1759</f>
        <v>31272.5</v>
      </c>
      <c r="F1758" s="9">
        <f t="shared" si="958"/>
        <v>26581.599999999999</v>
      </c>
      <c r="G1758" s="9">
        <f t="shared" si="958"/>
        <v>26581.599999999999</v>
      </c>
      <c r="H1758" s="9">
        <f>H1759</f>
        <v>24100.8135</v>
      </c>
      <c r="I1758" s="9">
        <f t="shared" si="937"/>
        <v>77.067114877288361</v>
      </c>
      <c r="J1758" s="9">
        <f t="shared" si="938"/>
        <v>90.667279245794091</v>
      </c>
    </row>
    <row r="1759" spans="1:10">
      <c r="A1759" s="8" t="s">
        <v>28</v>
      </c>
      <c r="B1759" s="1" t="s">
        <v>625</v>
      </c>
      <c r="C1759" s="1" t="s">
        <v>29</v>
      </c>
      <c r="D1759" s="9">
        <f>ведомство!G1555</f>
        <v>31272.5</v>
      </c>
      <c r="E1759" s="9">
        <f>ведомство!H1555</f>
        <v>31272.5</v>
      </c>
      <c r="F1759" s="9">
        <f>ведомство!I1555</f>
        <v>26581.599999999999</v>
      </c>
      <c r="G1759" s="9">
        <f>ведомство!J1555</f>
        <v>26581.599999999999</v>
      </c>
      <c r="H1759" s="9">
        <f>ведомство!K1555</f>
        <v>24100.8135</v>
      </c>
      <c r="I1759" s="9">
        <f t="shared" si="937"/>
        <v>77.067114877288361</v>
      </c>
      <c r="J1759" s="9">
        <f t="shared" si="938"/>
        <v>90.667279245794091</v>
      </c>
    </row>
    <row r="1760" spans="1:10" ht="38.25">
      <c r="A1760" s="8" t="s">
        <v>605</v>
      </c>
      <c r="B1760" s="1" t="s">
        <v>606</v>
      </c>
      <c r="C1760" s="1" t="s">
        <v>0</v>
      </c>
      <c r="D1760" s="9">
        <f>D1761</f>
        <v>1287.2</v>
      </c>
      <c r="E1760" s="9">
        <f>E1761</f>
        <v>1287.2</v>
      </c>
      <c r="F1760" s="9">
        <f t="shared" ref="F1760:G1761" si="959">F1761</f>
        <v>1287.2</v>
      </c>
      <c r="G1760" s="9">
        <f t="shared" si="959"/>
        <v>1287.2</v>
      </c>
      <c r="H1760" s="9">
        <f>H1761</f>
        <v>226.26823999999999</v>
      </c>
      <c r="I1760" s="9">
        <f t="shared" si="937"/>
        <v>17.578328154133001</v>
      </c>
      <c r="J1760" s="9">
        <f t="shared" si="938"/>
        <v>17.578328154133001</v>
      </c>
    </row>
    <row r="1761" spans="1:10">
      <c r="A1761" s="8" t="s">
        <v>26</v>
      </c>
      <c r="B1761" s="1" t="s">
        <v>606</v>
      </c>
      <c r="C1761" s="1" t="s">
        <v>27</v>
      </c>
      <c r="D1761" s="9">
        <f>D1762</f>
        <v>1287.2</v>
      </c>
      <c r="E1761" s="9">
        <f>E1762</f>
        <v>1287.2</v>
      </c>
      <c r="F1761" s="9">
        <f t="shared" si="959"/>
        <v>1287.2</v>
      </c>
      <c r="G1761" s="9">
        <f t="shared" si="959"/>
        <v>1287.2</v>
      </c>
      <c r="H1761" s="9">
        <f>H1762</f>
        <v>226.26823999999999</v>
      </c>
      <c r="I1761" s="9">
        <f t="shared" si="937"/>
        <v>17.578328154133001</v>
      </c>
      <c r="J1761" s="9">
        <f t="shared" si="938"/>
        <v>17.578328154133001</v>
      </c>
    </row>
    <row r="1762" spans="1:10">
      <c r="A1762" s="8" t="s">
        <v>28</v>
      </c>
      <c r="B1762" s="1" t="s">
        <v>606</v>
      </c>
      <c r="C1762" s="1" t="s">
        <v>29</v>
      </c>
      <c r="D1762" s="9">
        <f>ведомство!G1503</f>
        <v>1287.2</v>
      </c>
      <c r="E1762" s="9">
        <f>ведомство!H1503</f>
        <v>1287.2</v>
      </c>
      <c r="F1762" s="9">
        <f>ведомство!I1503</f>
        <v>1287.2</v>
      </c>
      <c r="G1762" s="9">
        <f>ведомство!J1503</f>
        <v>1287.2</v>
      </c>
      <c r="H1762" s="9">
        <f>ведомство!K1503</f>
        <v>226.26823999999999</v>
      </c>
      <c r="I1762" s="9">
        <f t="shared" si="937"/>
        <v>17.578328154133001</v>
      </c>
      <c r="J1762" s="9">
        <f t="shared" si="938"/>
        <v>17.578328154133001</v>
      </c>
    </row>
    <row r="1763" spans="1:10" ht="25.5">
      <c r="A1763" s="8" t="s">
        <v>58</v>
      </c>
      <c r="B1763" s="1" t="s">
        <v>608</v>
      </c>
      <c r="C1763" s="1" t="s">
        <v>0</v>
      </c>
      <c r="D1763" s="9">
        <f>D1764+D1766+D1768+D1770</f>
        <v>64782.200000000004</v>
      </c>
      <c r="E1763" s="9">
        <f>E1764+E1766+E1768+E1770</f>
        <v>64782.200000000004</v>
      </c>
      <c r="F1763" s="9">
        <f t="shared" ref="F1763:G1763" si="960">F1764+F1766+F1768+F1770</f>
        <v>50548.3</v>
      </c>
      <c r="G1763" s="9">
        <f t="shared" si="960"/>
        <v>50347.3</v>
      </c>
      <c r="H1763" s="9">
        <f>H1764+H1766+H1768+H1770</f>
        <v>46690.687550000002</v>
      </c>
      <c r="I1763" s="9">
        <f t="shared" si="937"/>
        <v>72.073328090123525</v>
      </c>
      <c r="J1763" s="9">
        <f t="shared" si="938"/>
        <v>92.36846253978868</v>
      </c>
    </row>
    <row r="1764" spans="1:10" ht="51">
      <c r="A1764" s="8" t="s">
        <v>60</v>
      </c>
      <c r="B1764" s="1" t="s">
        <v>608</v>
      </c>
      <c r="C1764" s="1" t="s">
        <v>61</v>
      </c>
      <c r="D1764" s="9">
        <f>D1765</f>
        <v>62134.5</v>
      </c>
      <c r="E1764" s="9">
        <f>E1765</f>
        <v>62134.5</v>
      </c>
      <c r="F1764" s="9">
        <f t="shared" ref="F1764:G1764" si="961">F1765</f>
        <v>48950</v>
      </c>
      <c r="G1764" s="9">
        <f t="shared" si="961"/>
        <v>48950</v>
      </c>
      <c r="H1764" s="9">
        <f>H1765</f>
        <v>45688.873869999996</v>
      </c>
      <c r="I1764" s="9">
        <f t="shared" si="937"/>
        <v>73.532214582880684</v>
      </c>
      <c r="J1764" s="9">
        <f t="shared" si="938"/>
        <v>93.337842431052081</v>
      </c>
    </row>
    <row r="1765" spans="1:10" ht="25.5">
      <c r="A1765" s="8" t="s">
        <v>62</v>
      </c>
      <c r="B1765" s="1" t="s">
        <v>608</v>
      </c>
      <c r="C1765" s="1" t="s">
        <v>63</v>
      </c>
      <c r="D1765" s="9">
        <f>ведомство!G1509</f>
        <v>62134.5</v>
      </c>
      <c r="E1765" s="9">
        <f>ведомство!H1509</f>
        <v>62134.5</v>
      </c>
      <c r="F1765" s="9">
        <f>ведомство!I1509</f>
        <v>48950</v>
      </c>
      <c r="G1765" s="9">
        <f>ведомство!J1509</f>
        <v>48950</v>
      </c>
      <c r="H1765" s="9">
        <f>ведомство!K1509</f>
        <v>45688.873869999996</v>
      </c>
      <c r="I1765" s="9">
        <f t="shared" si="937"/>
        <v>73.532214582880684</v>
      </c>
      <c r="J1765" s="9">
        <f t="shared" si="938"/>
        <v>93.337842431052081</v>
      </c>
    </row>
    <row r="1766" spans="1:10" ht="25.5">
      <c r="A1766" s="8" t="s">
        <v>64</v>
      </c>
      <c r="B1766" s="1" t="s">
        <v>608</v>
      </c>
      <c r="C1766" s="1" t="s">
        <v>65</v>
      </c>
      <c r="D1766" s="9">
        <f>D1767</f>
        <v>2537.4</v>
      </c>
      <c r="E1766" s="9">
        <f>E1767</f>
        <v>2537.4</v>
      </c>
      <c r="F1766" s="9">
        <f t="shared" ref="F1766:G1766" si="962">F1767</f>
        <v>1550</v>
      </c>
      <c r="G1766" s="9">
        <f t="shared" si="962"/>
        <v>1350</v>
      </c>
      <c r="H1766" s="9">
        <f>H1767</f>
        <v>957.87631999999996</v>
      </c>
      <c r="I1766" s="9">
        <f t="shared" si="937"/>
        <v>37.750308189485295</v>
      </c>
      <c r="J1766" s="9">
        <f t="shared" si="938"/>
        <v>61.798472258064521</v>
      </c>
    </row>
    <row r="1767" spans="1:10" ht="25.5">
      <c r="A1767" s="8" t="s">
        <v>66</v>
      </c>
      <c r="B1767" s="1" t="s">
        <v>608</v>
      </c>
      <c r="C1767" s="1" t="s">
        <v>67</v>
      </c>
      <c r="D1767" s="9">
        <f>ведомство!G1511</f>
        <v>2537.4</v>
      </c>
      <c r="E1767" s="9">
        <f>ведомство!H1511</f>
        <v>2537.4</v>
      </c>
      <c r="F1767" s="9">
        <f>ведомство!I1511</f>
        <v>1550</v>
      </c>
      <c r="G1767" s="9">
        <f>ведомство!J1511</f>
        <v>1350</v>
      </c>
      <c r="H1767" s="9">
        <f>ведомство!K1511</f>
        <v>957.87631999999996</v>
      </c>
      <c r="I1767" s="9">
        <f t="shared" si="937"/>
        <v>37.750308189485295</v>
      </c>
      <c r="J1767" s="9">
        <f t="shared" si="938"/>
        <v>61.798472258064521</v>
      </c>
    </row>
    <row r="1768" spans="1:10">
      <c r="A1768" s="8" t="s">
        <v>68</v>
      </c>
      <c r="B1768" s="1" t="s">
        <v>608</v>
      </c>
      <c r="C1768" s="1" t="s">
        <v>69</v>
      </c>
      <c r="D1768" s="9">
        <f>D1769</f>
        <v>60</v>
      </c>
      <c r="E1768" s="9">
        <f>E1769</f>
        <v>60</v>
      </c>
      <c r="F1768" s="9">
        <f t="shared" ref="F1768:G1768" si="963">F1769</f>
        <v>0</v>
      </c>
      <c r="G1768" s="9">
        <f t="shared" si="963"/>
        <v>0</v>
      </c>
      <c r="H1768" s="9">
        <f>H1769</f>
        <v>0</v>
      </c>
      <c r="I1768" s="9">
        <f t="shared" si="937"/>
        <v>0</v>
      </c>
      <c r="J1768" s="9">
        <v>0</v>
      </c>
    </row>
    <row r="1769" spans="1:10">
      <c r="A1769" s="8" t="s">
        <v>70</v>
      </c>
      <c r="B1769" s="1" t="s">
        <v>608</v>
      </c>
      <c r="C1769" s="1" t="s">
        <v>71</v>
      </c>
      <c r="D1769" s="9">
        <f>ведомство!G1513</f>
        <v>60</v>
      </c>
      <c r="E1769" s="9">
        <f>ведомство!H1513</f>
        <v>60</v>
      </c>
      <c r="F1769" s="9">
        <f>ведомство!I1513</f>
        <v>0</v>
      </c>
      <c r="G1769" s="9">
        <f>ведомство!J1513</f>
        <v>0</v>
      </c>
      <c r="H1769" s="9">
        <f>ведомство!K1513</f>
        <v>0</v>
      </c>
      <c r="I1769" s="9">
        <f t="shared" si="937"/>
        <v>0</v>
      </c>
      <c r="J1769" s="9">
        <v>0</v>
      </c>
    </row>
    <row r="1770" spans="1:10">
      <c r="A1770" s="8" t="s">
        <v>72</v>
      </c>
      <c r="B1770" s="1" t="s">
        <v>608</v>
      </c>
      <c r="C1770" s="1" t="s">
        <v>73</v>
      </c>
      <c r="D1770" s="9">
        <f>D1771</f>
        <v>50.3</v>
      </c>
      <c r="E1770" s="9">
        <f>E1771</f>
        <v>50.3</v>
      </c>
      <c r="F1770" s="9">
        <f t="shared" ref="F1770:G1770" si="964">F1771</f>
        <v>48.3</v>
      </c>
      <c r="G1770" s="9">
        <f t="shared" si="964"/>
        <v>47.3</v>
      </c>
      <c r="H1770" s="9">
        <f>H1771</f>
        <v>43.937360000000005</v>
      </c>
      <c r="I1770" s="9">
        <f t="shared" si="937"/>
        <v>87.350616302186893</v>
      </c>
      <c r="J1770" s="9">
        <f t="shared" si="938"/>
        <v>90.967619047619067</v>
      </c>
    </row>
    <row r="1771" spans="1:10">
      <c r="A1771" s="8" t="s">
        <v>74</v>
      </c>
      <c r="B1771" s="1" t="s">
        <v>608</v>
      </c>
      <c r="C1771" s="1" t="s">
        <v>75</v>
      </c>
      <c r="D1771" s="9">
        <f>ведомство!G1515</f>
        <v>50.3</v>
      </c>
      <c r="E1771" s="9">
        <f>ведомство!H1515</f>
        <v>50.3</v>
      </c>
      <c r="F1771" s="9">
        <f>ведомство!I1515</f>
        <v>48.3</v>
      </c>
      <c r="G1771" s="9">
        <f>ведомство!J1515</f>
        <v>47.3</v>
      </c>
      <c r="H1771" s="9">
        <f>ведомство!K1515</f>
        <v>43.937360000000005</v>
      </c>
      <c r="I1771" s="9">
        <f t="shared" si="937"/>
        <v>87.350616302186893</v>
      </c>
      <c r="J1771" s="9">
        <f t="shared" si="938"/>
        <v>90.967619047619067</v>
      </c>
    </row>
    <row r="1772" spans="1:10">
      <c r="A1772" s="8" t="s">
        <v>609</v>
      </c>
      <c r="B1772" s="1" t="s">
        <v>610</v>
      </c>
      <c r="C1772" s="1" t="s">
        <v>0</v>
      </c>
      <c r="D1772" s="9">
        <f>D1773+D1775</f>
        <v>37207.699999999997</v>
      </c>
      <c r="E1772" s="9">
        <f>E1773+E1775</f>
        <v>37207.699999999997</v>
      </c>
      <c r="F1772" s="9">
        <f t="shared" ref="F1772:G1772" si="965">F1773+F1775</f>
        <v>24004.716479999999</v>
      </c>
      <c r="G1772" s="9">
        <f t="shared" si="965"/>
        <v>23093.24567</v>
      </c>
      <c r="H1772" s="9">
        <f>H1773+H1775</f>
        <v>23080.820670000001</v>
      </c>
      <c r="I1772" s="9">
        <f t="shared" si="937"/>
        <v>62.032376819851805</v>
      </c>
      <c r="J1772" s="9">
        <f t="shared" si="938"/>
        <v>96.151190493044311</v>
      </c>
    </row>
    <row r="1773" spans="1:10" ht="25.5">
      <c r="A1773" s="8" t="s">
        <v>64</v>
      </c>
      <c r="B1773" s="1" t="s">
        <v>610</v>
      </c>
      <c r="C1773" s="1" t="s">
        <v>65</v>
      </c>
      <c r="D1773" s="9">
        <f>D1774</f>
        <v>6974.7</v>
      </c>
      <c r="E1773" s="9">
        <f>E1774</f>
        <v>6974.7</v>
      </c>
      <c r="F1773" s="9">
        <f t="shared" ref="F1773:G1773" si="966">F1774</f>
        <v>5494.7</v>
      </c>
      <c r="G1773" s="9">
        <f t="shared" si="966"/>
        <v>5494.7</v>
      </c>
      <c r="H1773" s="9">
        <f>H1774</f>
        <v>5482.2749999999996</v>
      </c>
      <c r="I1773" s="9">
        <f t="shared" si="937"/>
        <v>78.602305475504323</v>
      </c>
      <c r="J1773" s="9">
        <f t="shared" si="938"/>
        <v>99.77387300489562</v>
      </c>
    </row>
    <row r="1774" spans="1:10" ht="25.5">
      <c r="A1774" s="8" t="s">
        <v>66</v>
      </c>
      <c r="B1774" s="1" t="s">
        <v>610</v>
      </c>
      <c r="C1774" s="1" t="s">
        <v>67</v>
      </c>
      <c r="D1774" s="9">
        <f>ведомство!G1518</f>
        <v>6974.7</v>
      </c>
      <c r="E1774" s="9">
        <f>ведомство!H1518</f>
        <v>6974.7</v>
      </c>
      <c r="F1774" s="9">
        <f>ведомство!I1518</f>
        <v>5494.7</v>
      </c>
      <c r="G1774" s="9">
        <f>ведомство!J1518</f>
        <v>5494.7</v>
      </c>
      <c r="H1774" s="9">
        <f>ведомство!K1518</f>
        <v>5482.2749999999996</v>
      </c>
      <c r="I1774" s="9">
        <f t="shared" si="937"/>
        <v>78.602305475504323</v>
      </c>
      <c r="J1774" s="9">
        <f t="shared" si="938"/>
        <v>99.77387300489562</v>
      </c>
    </row>
    <row r="1775" spans="1:10">
      <c r="A1775" s="8" t="s">
        <v>72</v>
      </c>
      <c r="B1775" s="1" t="s">
        <v>610</v>
      </c>
      <c r="C1775" s="1" t="s">
        <v>73</v>
      </c>
      <c r="D1775" s="9">
        <f>D1776+D1778+D1777</f>
        <v>30233</v>
      </c>
      <c r="E1775" s="9">
        <f>E1776+E1778+E1777</f>
        <v>30233</v>
      </c>
      <c r="F1775" s="9">
        <f t="shared" ref="F1775:G1775" si="967">F1776+F1778+F1777</f>
        <v>18510.016479999998</v>
      </c>
      <c r="G1775" s="9">
        <f t="shared" si="967"/>
        <v>17598.54567</v>
      </c>
      <c r="H1775" s="9">
        <f>H1776+H1778+H1777</f>
        <v>17598.54567</v>
      </c>
      <c r="I1775" s="9">
        <f t="shared" si="937"/>
        <v>58.209723381735188</v>
      </c>
      <c r="J1775" s="9">
        <f t="shared" si="938"/>
        <v>95.075796874709212</v>
      </c>
    </row>
    <row r="1776" spans="1:10">
      <c r="A1776" s="8" t="s">
        <v>84</v>
      </c>
      <c r="B1776" s="1" t="s">
        <v>610</v>
      </c>
      <c r="C1776" s="1" t="s">
        <v>85</v>
      </c>
      <c r="D1776" s="9">
        <f>ведомство!G1529</f>
        <v>29233</v>
      </c>
      <c r="E1776" s="9">
        <f>ведомство!H1529</f>
        <v>29233</v>
      </c>
      <c r="F1776" s="9">
        <f>ведомство!I1529</f>
        <v>17760.016479999998</v>
      </c>
      <c r="G1776" s="9">
        <f>ведомство!J1529</f>
        <v>16848.54567</v>
      </c>
      <c r="H1776" s="9">
        <f>ведомство!K1529</f>
        <v>16848.54567</v>
      </c>
      <c r="I1776" s="9">
        <f t="shared" si="937"/>
        <v>57.635363014401534</v>
      </c>
      <c r="J1776" s="9">
        <f t="shared" si="938"/>
        <v>94.867849300554269</v>
      </c>
    </row>
    <row r="1777" spans="1:10" s="49" customFormat="1">
      <c r="A1777" s="8" t="s">
        <v>74</v>
      </c>
      <c r="B1777" s="1" t="s">
        <v>610</v>
      </c>
      <c r="C1777" s="1">
        <v>850</v>
      </c>
      <c r="D1777" s="9">
        <f>ведомство!G1530</f>
        <v>0</v>
      </c>
      <c r="E1777" s="9">
        <f>ведомство!H1530</f>
        <v>1000</v>
      </c>
      <c r="F1777" s="9">
        <f>ведомство!I1530</f>
        <v>750</v>
      </c>
      <c r="G1777" s="9">
        <f>ведомство!J1530</f>
        <v>750</v>
      </c>
      <c r="H1777" s="9">
        <f>ведомство!K1530</f>
        <v>750</v>
      </c>
      <c r="I1777" s="9">
        <f t="shared" ref="I1777" si="968">H1777/E1777*100</f>
        <v>75</v>
      </c>
      <c r="J1777" s="9">
        <f t="shared" ref="J1777" si="969">H1777/F1777*100</f>
        <v>100</v>
      </c>
    </row>
    <row r="1778" spans="1:10">
      <c r="A1778" s="8" t="s">
        <v>615</v>
      </c>
      <c r="B1778" s="1" t="s">
        <v>610</v>
      </c>
      <c r="C1778" s="1" t="s">
        <v>616</v>
      </c>
      <c r="D1778" s="9">
        <f>ведомство!G1531</f>
        <v>1000</v>
      </c>
      <c r="E1778" s="9">
        <f>ведомство!H1531</f>
        <v>0</v>
      </c>
      <c r="F1778" s="9">
        <f>ведомство!I1531</f>
        <v>0</v>
      </c>
      <c r="G1778" s="9">
        <f>ведомство!J1531</f>
        <v>0</v>
      </c>
      <c r="H1778" s="9">
        <f>ведомство!K1531</f>
        <v>0</v>
      </c>
      <c r="I1778" s="9">
        <v>0</v>
      </c>
      <c r="J1778" s="9">
        <v>0</v>
      </c>
    </row>
    <row r="1779" spans="1:10" ht="38.25">
      <c r="A1779" s="8" t="s">
        <v>657</v>
      </c>
      <c r="B1779" s="1" t="s">
        <v>658</v>
      </c>
      <c r="C1779" s="1" t="s">
        <v>0</v>
      </c>
      <c r="D1779" s="9">
        <f>D1780</f>
        <v>3990</v>
      </c>
      <c r="E1779" s="9">
        <f>E1780</f>
        <v>3990</v>
      </c>
      <c r="F1779" s="9">
        <f t="shared" ref="F1779:G1780" si="970">F1780</f>
        <v>3297.3710000000001</v>
      </c>
      <c r="G1779" s="9">
        <f t="shared" si="970"/>
        <v>2505.5169999999998</v>
      </c>
      <c r="H1779" s="9">
        <f>H1780</f>
        <v>2505.5169999999998</v>
      </c>
      <c r="I1779" s="9">
        <f t="shared" si="937"/>
        <v>62.794912280701752</v>
      </c>
      <c r="J1779" s="9">
        <f t="shared" si="938"/>
        <v>75.985292525469532</v>
      </c>
    </row>
    <row r="1780" spans="1:10">
      <c r="A1780" s="8" t="s">
        <v>26</v>
      </c>
      <c r="B1780" s="1" t="s">
        <v>658</v>
      </c>
      <c r="C1780" s="1" t="s">
        <v>27</v>
      </c>
      <c r="D1780" s="9">
        <f>D1781</f>
        <v>3990</v>
      </c>
      <c r="E1780" s="9">
        <f>E1781</f>
        <v>3990</v>
      </c>
      <c r="F1780" s="9">
        <f t="shared" si="970"/>
        <v>3297.3710000000001</v>
      </c>
      <c r="G1780" s="9">
        <f t="shared" si="970"/>
        <v>2505.5169999999998</v>
      </c>
      <c r="H1780" s="9">
        <f>H1781</f>
        <v>2505.5169999999998</v>
      </c>
      <c r="I1780" s="9">
        <f t="shared" si="937"/>
        <v>62.794912280701752</v>
      </c>
      <c r="J1780" s="9">
        <f t="shared" si="938"/>
        <v>75.985292525469532</v>
      </c>
    </row>
    <row r="1781" spans="1:10">
      <c r="A1781" s="8" t="s">
        <v>56</v>
      </c>
      <c r="B1781" s="1" t="s">
        <v>658</v>
      </c>
      <c r="C1781" s="1" t="s">
        <v>57</v>
      </c>
      <c r="D1781" s="9">
        <f>ведомство!G1593</f>
        <v>3990</v>
      </c>
      <c r="E1781" s="9">
        <f>ведомство!H1593</f>
        <v>3990</v>
      </c>
      <c r="F1781" s="9">
        <f>ведомство!I1593</f>
        <v>3297.3710000000001</v>
      </c>
      <c r="G1781" s="9">
        <f>ведомство!J1593</f>
        <v>2505.5169999999998</v>
      </c>
      <c r="H1781" s="9">
        <f>ведомство!K1593</f>
        <v>2505.5169999999998</v>
      </c>
      <c r="I1781" s="9">
        <f t="shared" si="937"/>
        <v>62.794912280701752</v>
      </c>
      <c r="J1781" s="9">
        <f t="shared" si="938"/>
        <v>75.985292525469532</v>
      </c>
    </row>
    <row r="1782" spans="1:10" ht="76.5">
      <c r="A1782" s="8" t="s">
        <v>659</v>
      </c>
      <c r="B1782" s="1" t="s">
        <v>660</v>
      </c>
      <c r="C1782" s="1" t="s">
        <v>0</v>
      </c>
      <c r="D1782" s="9">
        <f>D1783</f>
        <v>1500</v>
      </c>
      <c r="E1782" s="9">
        <f>E1783</f>
        <v>1500</v>
      </c>
      <c r="F1782" s="9">
        <f t="shared" ref="F1782:G1783" si="971">F1783</f>
        <v>1500</v>
      </c>
      <c r="G1782" s="9">
        <f t="shared" si="971"/>
        <v>1500</v>
      </c>
      <c r="H1782" s="9">
        <f>H1783</f>
        <v>1500</v>
      </c>
      <c r="I1782" s="9">
        <f t="shared" si="937"/>
        <v>100</v>
      </c>
      <c r="J1782" s="9">
        <f t="shared" si="938"/>
        <v>100</v>
      </c>
    </row>
    <row r="1783" spans="1:10">
      <c r="A1783" s="8" t="s">
        <v>26</v>
      </c>
      <c r="B1783" s="1" t="s">
        <v>660</v>
      </c>
      <c r="C1783" s="1" t="s">
        <v>27</v>
      </c>
      <c r="D1783" s="9">
        <f>D1784</f>
        <v>1500</v>
      </c>
      <c r="E1783" s="9">
        <f>E1784</f>
        <v>1500</v>
      </c>
      <c r="F1783" s="9">
        <f t="shared" si="971"/>
        <v>1500</v>
      </c>
      <c r="G1783" s="9">
        <f t="shared" si="971"/>
        <v>1500</v>
      </c>
      <c r="H1783" s="9">
        <f>H1784</f>
        <v>1500</v>
      </c>
      <c r="I1783" s="9">
        <f t="shared" si="937"/>
        <v>100</v>
      </c>
      <c r="J1783" s="9">
        <f t="shared" si="938"/>
        <v>100</v>
      </c>
    </row>
    <row r="1784" spans="1:10">
      <c r="A1784" s="8" t="s">
        <v>56</v>
      </c>
      <c r="B1784" s="1" t="s">
        <v>660</v>
      </c>
      <c r="C1784" s="1" t="s">
        <v>57</v>
      </c>
      <c r="D1784" s="9">
        <f>ведомство!G1596</f>
        <v>1500</v>
      </c>
      <c r="E1784" s="9">
        <f>ведомство!H1596</f>
        <v>1500</v>
      </c>
      <c r="F1784" s="9">
        <f>ведомство!I1596</f>
        <v>1500</v>
      </c>
      <c r="G1784" s="9">
        <f>ведомство!J1596</f>
        <v>1500</v>
      </c>
      <c r="H1784" s="9">
        <f>ведомство!K1596</f>
        <v>1500</v>
      </c>
      <c r="I1784" s="9">
        <f t="shared" si="937"/>
        <v>100</v>
      </c>
      <c r="J1784" s="9">
        <f t="shared" si="938"/>
        <v>100</v>
      </c>
    </row>
    <row r="1785" spans="1:10" ht="25.5">
      <c r="A1785" s="8" t="s">
        <v>600</v>
      </c>
      <c r="B1785" s="1" t="s">
        <v>601</v>
      </c>
      <c r="C1785" s="1" t="s">
        <v>0</v>
      </c>
      <c r="D1785" s="9">
        <f>D1786</f>
        <v>34721.699999999997</v>
      </c>
      <c r="E1785" s="9">
        <f>E1786</f>
        <v>34721.699999999997</v>
      </c>
      <c r="F1785" s="9">
        <f t="shared" ref="F1785:G1786" si="972">F1786</f>
        <v>26101.8</v>
      </c>
      <c r="G1785" s="9">
        <f t="shared" si="972"/>
        <v>26101.368490000001</v>
      </c>
      <c r="H1785" s="9">
        <f>H1786</f>
        <v>24566.78167</v>
      </c>
      <c r="I1785" s="9">
        <f t="shared" si="937"/>
        <v>70.753395340665932</v>
      </c>
      <c r="J1785" s="9">
        <f t="shared" si="938"/>
        <v>94.119109295144398</v>
      </c>
    </row>
    <row r="1786" spans="1:10">
      <c r="A1786" s="8" t="s">
        <v>26</v>
      </c>
      <c r="B1786" s="1" t="s">
        <v>601</v>
      </c>
      <c r="C1786" s="1" t="s">
        <v>27</v>
      </c>
      <c r="D1786" s="9">
        <f>D1787</f>
        <v>34721.699999999997</v>
      </c>
      <c r="E1786" s="9">
        <f>E1787</f>
        <v>34721.699999999997</v>
      </c>
      <c r="F1786" s="9">
        <f t="shared" si="972"/>
        <v>26101.8</v>
      </c>
      <c r="G1786" s="9">
        <f t="shared" si="972"/>
        <v>26101.368490000001</v>
      </c>
      <c r="H1786" s="9">
        <f>H1787</f>
        <v>24566.78167</v>
      </c>
      <c r="I1786" s="9">
        <f t="shared" ref="I1786:I1853" si="973">H1786/E1786*100</f>
        <v>70.753395340665932</v>
      </c>
      <c r="J1786" s="9">
        <f t="shared" ref="J1786:J1853" si="974">H1786/F1786*100</f>
        <v>94.119109295144398</v>
      </c>
    </row>
    <row r="1787" spans="1:10">
      <c r="A1787" s="8" t="s">
        <v>28</v>
      </c>
      <c r="B1787" s="1" t="s">
        <v>601</v>
      </c>
      <c r="C1787" s="1" t="s">
        <v>29</v>
      </c>
      <c r="D1787" s="9">
        <f>ведомство!G1494</f>
        <v>34721.699999999997</v>
      </c>
      <c r="E1787" s="9">
        <f>ведомство!H1494</f>
        <v>34721.699999999997</v>
      </c>
      <c r="F1787" s="9">
        <f>ведомство!I1494</f>
        <v>26101.8</v>
      </c>
      <c r="G1787" s="9">
        <f>ведомство!J1494</f>
        <v>26101.368490000001</v>
      </c>
      <c r="H1787" s="9">
        <f>ведомство!K1494</f>
        <v>24566.78167</v>
      </c>
      <c r="I1787" s="9">
        <f t="shared" si="973"/>
        <v>70.753395340665932</v>
      </c>
      <c r="J1787" s="9">
        <f t="shared" si="974"/>
        <v>94.119109295144398</v>
      </c>
    </row>
    <row r="1788" spans="1:10" ht="25.5">
      <c r="A1788" s="8" t="s">
        <v>602</v>
      </c>
      <c r="B1788" s="1" t="s">
        <v>603</v>
      </c>
      <c r="C1788" s="1" t="s">
        <v>0</v>
      </c>
      <c r="D1788" s="9">
        <f>D1789</f>
        <v>20286.400000000001</v>
      </c>
      <c r="E1788" s="9">
        <f>E1789</f>
        <v>20286.400000000001</v>
      </c>
      <c r="F1788" s="9">
        <f t="shared" ref="F1788:G1789" si="975">F1789</f>
        <v>15215.7</v>
      </c>
      <c r="G1788" s="9">
        <f t="shared" si="975"/>
        <v>15215.7</v>
      </c>
      <c r="H1788" s="9">
        <f>H1789</f>
        <v>12732.84994</v>
      </c>
      <c r="I1788" s="9">
        <f t="shared" si="973"/>
        <v>62.765448477797925</v>
      </c>
      <c r="J1788" s="9">
        <f t="shared" si="974"/>
        <v>83.682314582963642</v>
      </c>
    </row>
    <row r="1789" spans="1:10">
      <c r="A1789" s="8" t="s">
        <v>26</v>
      </c>
      <c r="B1789" s="1" t="s">
        <v>603</v>
      </c>
      <c r="C1789" s="1" t="s">
        <v>27</v>
      </c>
      <c r="D1789" s="9">
        <f>D1790</f>
        <v>20286.400000000001</v>
      </c>
      <c r="E1789" s="9">
        <f>E1790</f>
        <v>20286.400000000001</v>
      </c>
      <c r="F1789" s="9">
        <f t="shared" si="975"/>
        <v>15215.7</v>
      </c>
      <c r="G1789" s="9">
        <f t="shared" si="975"/>
        <v>15215.7</v>
      </c>
      <c r="H1789" s="9">
        <f>H1790</f>
        <v>12732.84994</v>
      </c>
      <c r="I1789" s="9">
        <f t="shared" si="973"/>
        <v>62.765448477797925</v>
      </c>
      <c r="J1789" s="9">
        <f t="shared" si="974"/>
        <v>83.682314582963642</v>
      </c>
    </row>
    <row r="1790" spans="1:10">
      <c r="A1790" s="8" t="s">
        <v>28</v>
      </c>
      <c r="B1790" s="1" t="s">
        <v>603</v>
      </c>
      <c r="C1790" s="1" t="s">
        <v>29</v>
      </c>
      <c r="D1790" s="9">
        <f>ведомство!G1497</f>
        <v>20286.400000000001</v>
      </c>
      <c r="E1790" s="9">
        <f>ведомство!H1497</f>
        <v>20286.400000000001</v>
      </c>
      <c r="F1790" s="9">
        <f>ведомство!I1497</f>
        <v>15215.7</v>
      </c>
      <c r="G1790" s="9">
        <f>ведомство!J1497</f>
        <v>15215.7</v>
      </c>
      <c r="H1790" s="9">
        <f>ведомство!K1497</f>
        <v>12732.84994</v>
      </c>
      <c r="I1790" s="9">
        <f t="shared" si="973"/>
        <v>62.765448477797925</v>
      </c>
      <c r="J1790" s="9">
        <f t="shared" si="974"/>
        <v>83.682314582963642</v>
      </c>
    </row>
    <row r="1791" spans="1:10">
      <c r="A1791" s="4" t="s">
        <v>0</v>
      </c>
      <c r="B1791" s="17" t="s">
        <v>0</v>
      </c>
      <c r="C1791" s="5" t="s">
        <v>0</v>
      </c>
      <c r="D1791" s="7" t="s">
        <v>0</v>
      </c>
      <c r="E1791" s="7" t="s">
        <v>0</v>
      </c>
      <c r="F1791" s="7" t="s">
        <v>0</v>
      </c>
      <c r="G1791" s="7" t="s">
        <v>0</v>
      </c>
      <c r="H1791" s="7" t="s">
        <v>0</v>
      </c>
      <c r="I1791" s="7"/>
      <c r="J1791" s="7"/>
    </row>
    <row r="1792" spans="1:10" ht="25.5">
      <c r="A1792" s="4" t="s">
        <v>628</v>
      </c>
      <c r="B1792" s="5" t="s">
        <v>629</v>
      </c>
      <c r="C1792" s="5" t="s">
        <v>0</v>
      </c>
      <c r="D1792" s="7">
        <f t="shared" ref="D1792:H1794" si="976">D1793</f>
        <v>1332183.1000000001</v>
      </c>
      <c r="E1792" s="7">
        <f t="shared" si="976"/>
        <v>1332183.1000000001</v>
      </c>
      <c r="F1792" s="7">
        <f t="shared" si="976"/>
        <v>801276.99720999994</v>
      </c>
      <c r="G1792" s="7">
        <f t="shared" si="976"/>
        <v>801276.99720999994</v>
      </c>
      <c r="H1792" s="7">
        <f t="shared" si="976"/>
        <v>801276.99720999994</v>
      </c>
      <c r="I1792" s="7">
        <f t="shared" si="973"/>
        <v>60.147662675648704</v>
      </c>
      <c r="J1792" s="7">
        <f t="shared" si="974"/>
        <v>100</v>
      </c>
    </row>
    <row r="1793" spans="1:10">
      <c r="A1793" s="8" t="s">
        <v>630</v>
      </c>
      <c r="B1793" s="1" t="s">
        <v>631</v>
      </c>
      <c r="C1793" s="1" t="s">
        <v>0</v>
      </c>
      <c r="D1793" s="9">
        <f t="shared" si="976"/>
        <v>1332183.1000000001</v>
      </c>
      <c r="E1793" s="9">
        <f t="shared" si="976"/>
        <v>1332183.1000000001</v>
      </c>
      <c r="F1793" s="9">
        <f t="shared" si="976"/>
        <v>801276.99720999994</v>
      </c>
      <c r="G1793" s="9">
        <f t="shared" si="976"/>
        <v>801276.99720999994</v>
      </c>
      <c r="H1793" s="9">
        <f t="shared" si="976"/>
        <v>801276.99720999994</v>
      </c>
      <c r="I1793" s="9">
        <f t="shared" si="973"/>
        <v>60.147662675648704</v>
      </c>
      <c r="J1793" s="9">
        <f t="shared" si="974"/>
        <v>100</v>
      </c>
    </row>
    <row r="1794" spans="1:10">
      <c r="A1794" s="8" t="s">
        <v>632</v>
      </c>
      <c r="B1794" s="1" t="s">
        <v>631</v>
      </c>
      <c r="C1794" s="1" t="s">
        <v>633</v>
      </c>
      <c r="D1794" s="9">
        <f t="shared" si="976"/>
        <v>1332183.1000000001</v>
      </c>
      <c r="E1794" s="9">
        <f t="shared" si="976"/>
        <v>1332183.1000000001</v>
      </c>
      <c r="F1794" s="9">
        <f t="shared" si="976"/>
        <v>801276.99720999994</v>
      </c>
      <c r="G1794" s="9">
        <f t="shared" si="976"/>
        <v>801276.99720999994</v>
      </c>
      <c r="H1794" s="9">
        <f t="shared" si="976"/>
        <v>801276.99720999994</v>
      </c>
      <c r="I1794" s="9">
        <f t="shared" si="973"/>
        <v>60.147662675648704</v>
      </c>
      <c r="J1794" s="9">
        <f t="shared" si="974"/>
        <v>100</v>
      </c>
    </row>
    <row r="1795" spans="1:10" ht="25.5">
      <c r="A1795" s="8" t="s">
        <v>634</v>
      </c>
      <c r="B1795" s="1" t="s">
        <v>631</v>
      </c>
      <c r="C1795" s="1" t="s">
        <v>635</v>
      </c>
      <c r="D1795" s="9">
        <f>ведомство!G1563</f>
        <v>1332183.1000000001</v>
      </c>
      <c r="E1795" s="9">
        <f>ведомство!H1563</f>
        <v>1332183.1000000001</v>
      </c>
      <c r="F1795" s="9">
        <f>ведомство!I1563</f>
        <v>801276.99720999994</v>
      </c>
      <c r="G1795" s="9">
        <f>ведомство!J1563</f>
        <v>801276.99720999994</v>
      </c>
      <c r="H1795" s="9">
        <f>ведомство!K1563</f>
        <v>801276.99720999994</v>
      </c>
      <c r="I1795" s="9">
        <f t="shared" si="973"/>
        <v>60.147662675648704</v>
      </c>
      <c r="J1795" s="9">
        <f t="shared" si="974"/>
        <v>100</v>
      </c>
    </row>
    <row r="1796" spans="1:10" ht="76.5">
      <c r="A1796" s="15" t="s">
        <v>636</v>
      </c>
      <c r="B1796" s="10" t="s">
        <v>0</v>
      </c>
      <c r="C1796" s="10" t="s">
        <v>0</v>
      </c>
      <c r="D1796" s="9">
        <f>ведомство!G1564</f>
        <v>711.1</v>
      </c>
      <c r="E1796" s="9">
        <f>ведомство!H1564</f>
        <v>711.1</v>
      </c>
      <c r="F1796" s="9">
        <f>ведомство!I1564</f>
        <v>0</v>
      </c>
      <c r="G1796" s="9">
        <f>ведомство!J1564</f>
        <v>0</v>
      </c>
      <c r="H1796" s="9">
        <f>ведомство!K1564</f>
        <v>0</v>
      </c>
      <c r="I1796" s="9">
        <f t="shared" si="973"/>
        <v>0</v>
      </c>
      <c r="J1796" s="9">
        <v>0</v>
      </c>
    </row>
    <row r="1797" spans="1:10" ht="89.25">
      <c r="A1797" s="15" t="s">
        <v>637</v>
      </c>
      <c r="B1797" s="10" t="s">
        <v>0</v>
      </c>
      <c r="C1797" s="10" t="s">
        <v>0</v>
      </c>
      <c r="D1797" s="9">
        <f>ведомство!G1565</f>
        <v>2012</v>
      </c>
      <c r="E1797" s="9">
        <f>ведомство!H1565</f>
        <v>2012</v>
      </c>
      <c r="F1797" s="9">
        <f>ведомство!I1565</f>
        <v>0</v>
      </c>
      <c r="G1797" s="9">
        <f>ведомство!J1565</f>
        <v>0</v>
      </c>
      <c r="H1797" s="9">
        <f>ведомство!K1565</f>
        <v>0</v>
      </c>
      <c r="I1797" s="9">
        <f t="shared" si="973"/>
        <v>0</v>
      </c>
      <c r="J1797" s="9">
        <v>0</v>
      </c>
    </row>
    <row r="1798" spans="1:10" ht="89.25">
      <c r="A1798" s="15" t="s">
        <v>638</v>
      </c>
      <c r="B1798" s="10" t="s">
        <v>0</v>
      </c>
      <c r="C1798" s="10" t="s">
        <v>0</v>
      </c>
      <c r="D1798" s="9">
        <f>ведомство!G1566</f>
        <v>453.3</v>
      </c>
      <c r="E1798" s="9">
        <f>ведомство!H1566</f>
        <v>453.3</v>
      </c>
      <c r="F1798" s="9">
        <f>ведомство!I1566</f>
        <v>0</v>
      </c>
      <c r="G1798" s="9">
        <f>ведомство!J1566</f>
        <v>0</v>
      </c>
      <c r="H1798" s="9">
        <f>ведомство!K1566</f>
        <v>0</v>
      </c>
      <c r="I1798" s="9">
        <f t="shared" si="973"/>
        <v>0</v>
      </c>
      <c r="J1798" s="9">
        <v>0</v>
      </c>
    </row>
    <row r="1799" spans="1:10" ht="89.25">
      <c r="A1799" s="15" t="s">
        <v>639</v>
      </c>
      <c r="B1799" s="10" t="s">
        <v>0</v>
      </c>
      <c r="C1799" s="10" t="s">
        <v>0</v>
      </c>
      <c r="D1799" s="9">
        <f>ведомство!G1567</f>
        <v>100.7</v>
      </c>
      <c r="E1799" s="9">
        <f>ведомство!H1567</f>
        <v>100.7</v>
      </c>
      <c r="F1799" s="9">
        <f>ведомство!I1567</f>
        <v>0</v>
      </c>
      <c r="G1799" s="9">
        <f>ведомство!J1567</f>
        <v>0</v>
      </c>
      <c r="H1799" s="9">
        <f>ведомство!K1567</f>
        <v>0</v>
      </c>
      <c r="I1799" s="9">
        <f t="shared" si="973"/>
        <v>0</v>
      </c>
      <c r="J1799" s="9">
        <v>0</v>
      </c>
    </row>
    <row r="1800" spans="1:10">
      <c r="A1800" s="4" t="s">
        <v>0</v>
      </c>
      <c r="B1800" s="17" t="s">
        <v>0</v>
      </c>
      <c r="C1800" s="5" t="s">
        <v>0</v>
      </c>
      <c r="D1800" s="7" t="s">
        <v>0</v>
      </c>
      <c r="E1800" s="7" t="s">
        <v>0</v>
      </c>
      <c r="F1800" s="7" t="s">
        <v>0</v>
      </c>
      <c r="G1800" s="7" t="s">
        <v>0</v>
      </c>
      <c r="H1800" s="7" t="s">
        <v>0</v>
      </c>
      <c r="I1800" s="7"/>
      <c r="J1800" s="7"/>
    </row>
    <row r="1801" spans="1:10" ht="25.5">
      <c r="A1801" s="4" t="s">
        <v>643</v>
      </c>
      <c r="B1801" s="5" t="s">
        <v>644</v>
      </c>
      <c r="C1801" s="5" t="s">
        <v>0</v>
      </c>
      <c r="D1801" s="7">
        <f>D1802+D1805+D1809+D1812+D1815</f>
        <v>3475204.5</v>
      </c>
      <c r="E1801" s="7">
        <f>E1802+E1805+E1809+E1812+E1815</f>
        <v>3475204.5</v>
      </c>
      <c r="F1801" s="7">
        <f t="shared" ref="F1801:G1801" si="977">F1802+F1805+F1809+F1812+F1815</f>
        <v>2538103.7000000002</v>
      </c>
      <c r="G1801" s="7">
        <f t="shared" si="977"/>
        <v>2538103.7000000002</v>
      </c>
      <c r="H1801" s="7">
        <f>H1802+H1805+H1809+H1812+H1815</f>
        <v>2538103.7000000002</v>
      </c>
      <c r="I1801" s="7">
        <f t="shared" si="973"/>
        <v>73.034657384910744</v>
      </c>
      <c r="J1801" s="7">
        <f t="shared" si="974"/>
        <v>100</v>
      </c>
    </row>
    <row r="1802" spans="1:10" ht="38.25">
      <c r="A1802" s="8" t="s">
        <v>652</v>
      </c>
      <c r="B1802" s="1" t="s">
        <v>653</v>
      </c>
      <c r="C1802" s="1" t="s">
        <v>0</v>
      </c>
      <c r="D1802" s="9">
        <f>D1803</f>
        <v>207668</v>
      </c>
      <c r="E1802" s="9">
        <f>E1803</f>
        <v>207668</v>
      </c>
      <c r="F1802" s="9">
        <f t="shared" ref="F1802:G1803" si="978">F1803</f>
        <v>112657.7</v>
      </c>
      <c r="G1802" s="9">
        <f t="shared" si="978"/>
        <v>112657.7</v>
      </c>
      <c r="H1802" s="9">
        <f>H1803</f>
        <v>112657.7</v>
      </c>
      <c r="I1802" s="9">
        <f t="shared" si="973"/>
        <v>54.248945432132054</v>
      </c>
      <c r="J1802" s="9">
        <f t="shared" si="974"/>
        <v>100</v>
      </c>
    </row>
    <row r="1803" spans="1:10">
      <c r="A1803" s="8" t="s">
        <v>26</v>
      </c>
      <c r="B1803" s="1" t="s">
        <v>653</v>
      </c>
      <c r="C1803" s="1" t="s">
        <v>27</v>
      </c>
      <c r="D1803" s="9">
        <f>D1804</f>
        <v>207668</v>
      </c>
      <c r="E1803" s="9">
        <f>E1804</f>
        <v>207668</v>
      </c>
      <c r="F1803" s="9">
        <f t="shared" si="978"/>
        <v>112657.7</v>
      </c>
      <c r="G1803" s="9">
        <f t="shared" si="978"/>
        <v>112657.7</v>
      </c>
      <c r="H1803" s="9">
        <f>H1804</f>
        <v>112657.7</v>
      </c>
      <c r="I1803" s="9">
        <f t="shared" si="973"/>
        <v>54.248945432132054</v>
      </c>
      <c r="J1803" s="9">
        <f t="shared" si="974"/>
        <v>100</v>
      </c>
    </row>
    <row r="1804" spans="1:10">
      <c r="A1804" s="8" t="s">
        <v>647</v>
      </c>
      <c r="B1804" s="1" t="s">
        <v>653</v>
      </c>
      <c r="C1804" s="1" t="s">
        <v>648</v>
      </c>
      <c r="D1804" s="9">
        <f>ведомство!G1584</f>
        <v>207668</v>
      </c>
      <c r="E1804" s="9">
        <f>ведомство!H1584</f>
        <v>207668</v>
      </c>
      <c r="F1804" s="9">
        <f>ведомство!I1584</f>
        <v>112657.7</v>
      </c>
      <c r="G1804" s="9">
        <f>ведомство!J1584</f>
        <v>112657.7</v>
      </c>
      <c r="H1804" s="9">
        <f>ведомство!K1584</f>
        <v>112657.7</v>
      </c>
      <c r="I1804" s="9">
        <f t="shared" si="973"/>
        <v>54.248945432132054</v>
      </c>
      <c r="J1804" s="9">
        <f t="shared" si="974"/>
        <v>100</v>
      </c>
    </row>
    <row r="1805" spans="1:10">
      <c r="A1805" s="8" t="s">
        <v>645</v>
      </c>
      <c r="B1805" s="1" t="s">
        <v>646</v>
      </c>
      <c r="C1805" s="1" t="s">
        <v>0</v>
      </c>
      <c r="D1805" s="9">
        <f>D1806</f>
        <v>223173</v>
      </c>
      <c r="E1805" s="9">
        <f>E1806</f>
        <v>223173</v>
      </c>
      <c r="F1805" s="9">
        <f t="shared" ref="F1805:G1805" si="979">F1806</f>
        <v>169089</v>
      </c>
      <c r="G1805" s="9">
        <f t="shared" si="979"/>
        <v>169089</v>
      </c>
      <c r="H1805" s="9">
        <f>H1806</f>
        <v>169089</v>
      </c>
      <c r="I1805" s="9">
        <f t="shared" si="973"/>
        <v>75.765885658211346</v>
      </c>
      <c r="J1805" s="9">
        <f t="shared" si="974"/>
        <v>100</v>
      </c>
    </row>
    <row r="1806" spans="1:10">
      <c r="A1806" s="8" t="s">
        <v>26</v>
      </c>
      <c r="B1806" s="1" t="s">
        <v>646</v>
      </c>
      <c r="C1806" s="1" t="s">
        <v>27</v>
      </c>
      <c r="D1806" s="9">
        <f>D1807+D1808</f>
        <v>223173</v>
      </c>
      <c r="E1806" s="9">
        <f>E1807+E1808</f>
        <v>223173</v>
      </c>
      <c r="F1806" s="9">
        <f t="shared" ref="F1806:G1806" si="980">F1807+F1808</f>
        <v>169089</v>
      </c>
      <c r="G1806" s="9">
        <f t="shared" si="980"/>
        <v>169089</v>
      </c>
      <c r="H1806" s="9">
        <f>H1807+H1808</f>
        <v>169089</v>
      </c>
      <c r="I1806" s="9">
        <f t="shared" si="973"/>
        <v>75.765885658211346</v>
      </c>
      <c r="J1806" s="9">
        <f t="shared" si="974"/>
        <v>100</v>
      </c>
    </row>
    <row r="1807" spans="1:10">
      <c r="A1807" s="8" t="s">
        <v>647</v>
      </c>
      <c r="B1807" s="1" t="s">
        <v>646</v>
      </c>
      <c r="C1807" s="1" t="s">
        <v>648</v>
      </c>
      <c r="D1807" s="9">
        <f>ведомство!G1575</f>
        <v>135022.1</v>
      </c>
      <c r="E1807" s="9">
        <f>ведомство!H1575</f>
        <v>135022.1</v>
      </c>
      <c r="F1807" s="9">
        <f>ведомство!I1575</f>
        <v>101266.1</v>
      </c>
      <c r="G1807" s="9">
        <f>ведомство!J1575</f>
        <v>101266.1</v>
      </c>
      <c r="H1807" s="9">
        <f>ведомство!K1575</f>
        <v>101266.1</v>
      </c>
      <c r="I1807" s="9">
        <f t="shared" si="973"/>
        <v>74.999648205738168</v>
      </c>
      <c r="J1807" s="9">
        <f t="shared" si="974"/>
        <v>100</v>
      </c>
    </row>
    <row r="1808" spans="1:10">
      <c r="A1808" s="8" t="s">
        <v>28</v>
      </c>
      <c r="B1808" s="1" t="s">
        <v>646</v>
      </c>
      <c r="C1808" s="1" t="s">
        <v>29</v>
      </c>
      <c r="D1808" s="9">
        <f>ведомство!G1600</f>
        <v>88150.9</v>
      </c>
      <c r="E1808" s="9">
        <f>ведомство!H1600</f>
        <v>88150.9</v>
      </c>
      <c r="F1808" s="9">
        <f>ведомство!I1600</f>
        <v>67822.899999999994</v>
      </c>
      <c r="G1808" s="9">
        <f>ведомство!J1600</f>
        <v>67822.899999999994</v>
      </c>
      <c r="H1808" s="9">
        <f>ведомство!K1600</f>
        <v>67822.899999999994</v>
      </c>
      <c r="I1808" s="9">
        <f t="shared" si="973"/>
        <v>76.939543441984142</v>
      </c>
      <c r="J1808" s="9">
        <f t="shared" si="974"/>
        <v>100</v>
      </c>
    </row>
    <row r="1809" spans="1:10" ht="25.5">
      <c r="A1809" s="8" t="s">
        <v>649</v>
      </c>
      <c r="B1809" s="1" t="s">
        <v>650</v>
      </c>
      <c r="C1809" s="1" t="s">
        <v>0</v>
      </c>
      <c r="D1809" s="9">
        <f>D1810</f>
        <v>1085406.8999999999</v>
      </c>
      <c r="E1809" s="9">
        <f>E1810</f>
        <v>1085406.8999999999</v>
      </c>
      <c r="F1809" s="9">
        <f t="shared" ref="F1809:G1810" si="981">F1810</f>
        <v>845186.9</v>
      </c>
      <c r="G1809" s="9">
        <f t="shared" si="981"/>
        <v>845186.9</v>
      </c>
      <c r="H1809" s="9">
        <f>H1810</f>
        <v>845186.9</v>
      </c>
      <c r="I1809" s="9">
        <f t="shared" si="973"/>
        <v>77.868207766138227</v>
      </c>
      <c r="J1809" s="9">
        <f t="shared" si="974"/>
        <v>100</v>
      </c>
    </row>
    <row r="1810" spans="1:10">
      <c r="A1810" s="8" t="s">
        <v>26</v>
      </c>
      <c r="B1810" s="1" t="s">
        <v>650</v>
      </c>
      <c r="C1810" s="1" t="s">
        <v>27</v>
      </c>
      <c r="D1810" s="9">
        <f>D1811</f>
        <v>1085406.8999999999</v>
      </c>
      <c r="E1810" s="9">
        <f>E1811</f>
        <v>1085406.8999999999</v>
      </c>
      <c r="F1810" s="9">
        <f t="shared" si="981"/>
        <v>845186.9</v>
      </c>
      <c r="G1810" s="9">
        <f t="shared" si="981"/>
        <v>845186.9</v>
      </c>
      <c r="H1810" s="9">
        <f>H1811</f>
        <v>845186.9</v>
      </c>
      <c r="I1810" s="9">
        <f t="shared" si="973"/>
        <v>77.868207766138227</v>
      </c>
      <c r="J1810" s="9">
        <f t="shared" si="974"/>
        <v>100</v>
      </c>
    </row>
    <row r="1811" spans="1:10">
      <c r="A1811" s="8" t="s">
        <v>647</v>
      </c>
      <c r="B1811" s="1" t="s">
        <v>650</v>
      </c>
      <c r="C1811" s="1" t="s">
        <v>648</v>
      </c>
      <c r="D1811" s="9">
        <f>ведомство!G1578</f>
        <v>1085406.8999999999</v>
      </c>
      <c r="E1811" s="9">
        <f>ведомство!H1578</f>
        <v>1085406.8999999999</v>
      </c>
      <c r="F1811" s="9">
        <f>ведомство!I1578</f>
        <v>845186.9</v>
      </c>
      <c r="G1811" s="9">
        <f>ведомство!J1578</f>
        <v>845186.9</v>
      </c>
      <c r="H1811" s="9">
        <f>ведомство!K1578</f>
        <v>845186.9</v>
      </c>
      <c r="I1811" s="9">
        <f t="shared" si="973"/>
        <v>77.868207766138227</v>
      </c>
      <c r="J1811" s="9">
        <f t="shared" si="974"/>
        <v>100</v>
      </c>
    </row>
    <row r="1812" spans="1:10" ht="25.5">
      <c r="A1812" s="8" t="s">
        <v>654</v>
      </c>
      <c r="B1812" s="1" t="s">
        <v>655</v>
      </c>
      <c r="C1812" s="1" t="s">
        <v>0</v>
      </c>
      <c r="D1812" s="9">
        <f>D1813</f>
        <v>60287.5</v>
      </c>
      <c r="E1812" s="9">
        <f>E1813</f>
        <v>60287.5</v>
      </c>
      <c r="F1812" s="9">
        <f t="shared" ref="F1812:G1813" si="982">F1813</f>
        <v>0</v>
      </c>
      <c r="G1812" s="9">
        <f t="shared" si="982"/>
        <v>0</v>
      </c>
      <c r="H1812" s="9">
        <f>H1813</f>
        <v>0</v>
      </c>
      <c r="I1812" s="9">
        <f t="shared" si="973"/>
        <v>0</v>
      </c>
      <c r="J1812" s="9">
        <v>0</v>
      </c>
    </row>
    <row r="1813" spans="1:10">
      <c r="A1813" s="8" t="s">
        <v>26</v>
      </c>
      <c r="B1813" s="1" t="s">
        <v>655</v>
      </c>
      <c r="C1813" s="1" t="s">
        <v>27</v>
      </c>
      <c r="D1813" s="9">
        <f>D1814</f>
        <v>60287.5</v>
      </c>
      <c r="E1813" s="9">
        <f>E1814</f>
        <v>60287.5</v>
      </c>
      <c r="F1813" s="9">
        <f t="shared" si="982"/>
        <v>0</v>
      </c>
      <c r="G1813" s="9">
        <f t="shared" si="982"/>
        <v>0</v>
      </c>
      <c r="H1813" s="9">
        <f>H1814</f>
        <v>0</v>
      </c>
      <c r="I1813" s="9">
        <f t="shared" si="973"/>
        <v>0</v>
      </c>
      <c r="J1813" s="9">
        <v>0</v>
      </c>
    </row>
    <row r="1814" spans="1:10">
      <c r="A1814" s="8" t="s">
        <v>647</v>
      </c>
      <c r="B1814" s="1" t="s">
        <v>655</v>
      </c>
      <c r="C1814" s="1" t="s">
        <v>648</v>
      </c>
      <c r="D1814" s="9">
        <f>ведомство!G1587</f>
        <v>60287.5</v>
      </c>
      <c r="E1814" s="9">
        <f>ведомство!H1587</f>
        <v>60287.5</v>
      </c>
      <c r="F1814" s="9">
        <f>ведомство!I1587</f>
        <v>0</v>
      </c>
      <c r="G1814" s="9">
        <f>ведомство!J1587</f>
        <v>0</v>
      </c>
      <c r="H1814" s="9">
        <f>ведомство!K1587</f>
        <v>0</v>
      </c>
      <c r="I1814" s="9">
        <f t="shared" si="973"/>
        <v>0</v>
      </c>
      <c r="J1814" s="22">
        <v>0</v>
      </c>
    </row>
    <row r="1815" spans="1:10">
      <c r="A1815" s="8" t="s">
        <v>661</v>
      </c>
      <c r="B1815" s="1" t="s">
        <v>662</v>
      </c>
      <c r="C1815" s="1" t="s">
        <v>0</v>
      </c>
      <c r="D1815" s="9">
        <f>D1816</f>
        <v>1898669.1</v>
      </c>
      <c r="E1815" s="9">
        <f>E1816</f>
        <v>1898669.1</v>
      </c>
      <c r="F1815" s="9">
        <f t="shared" ref="F1815:G1816" si="983">F1816</f>
        <v>1411170.1</v>
      </c>
      <c r="G1815" s="9">
        <f t="shared" si="983"/>
        <v>1411170.1</v>
      </c>
      <c r="H1815" s="9">
        <f>H1816</f>
        <v>1411170.1</v>
      </c>
      <c r="I1815" s="9">
        <f t="shared" si="973"/>
        <v>74.324172653360193</v>
      </c>
      <c r="J1815" s="9">
        <f t="shared" si="974"/>
        <v>100</v>
      </c>
    </row>
    <row r="1816" spans="1:10">
      <c r="A1816" s="8" t="s">
        <v>26</v>
      </c>
      <c r="B1816" s="1" t="s">
        <v>662</v>
      </c>
      <c r="C1816" s="1" t="s">
        <v>27</v>
      </c>
      <c r="D1816" s="9">
        <f>D1817</f>
        <v>1898669.1</v>
      </c>
      <c r="E1816" s="9">
        <f>E1817</f>
        <v>1898669.1</v>
      </c>
      <c r="F1816" s="9">
        <f t="shared" si="983"/>
        <v>1411170.1</v>
      </c>
      <c r="G1816" s="9">
        <f t="shared" si="983"/>
        <v>1411170.1</v>
      </c>
      <c r="H1816" s="9">
        <f>H1817</f>
        <v>1411170.1</v>
      </c>
      <c r="I1816" s="9">
        <f t="shared" si="973"/>
        <v>74.324172653360193</v>
      </c>
      <c r="J1816" s="9">
        <f t="shared" si="974"/>
        <v>100</v>
      </c>
    </row>
    <row r="1817" spans="1:10">
      <c r="A1817" s="8" t="s">
        <v>56</v>
      </c>
      <c r="B1817" s="1" t="s">
        <v>662</v>
      </c>
      <c r="C1817" s="1" t="s">
        <v>57</v>
      </c>
      <c r="D1817" s="9">
        <f>ведомство!G1603</f>
        <v>1898669.1</v>
      </c>
      <c r="E1817" s="9">
        <f>ведомство!H1603</f>
        <v>1898669.1</v>
      </c>
      <c r="F1817" s="9">
        <f>ведомство!I1603</f>
        <v>1411170.1</v>
      </c>
      <c r="G1817" s="9">
        <f>ведомство!J1603</f>
        <v>1411170.1</v>
      </c>
      <c r="H1817" s="9">
        <f>ведомство!K1603</f>
        <v>1411170.1</v>
      </c>
      <c r="I1817" s="9">
        <f t="shared" si="973"/>
        <v>74.324172653360193</v>
      </c>
      <c r="J1817" s="9">
        <f t="shared" si="974"/>
        <v>100</v>
      </c>
    </row>
    <row r="1818" spans="1:10">
      <c r="A1818" s="4" t="s">
        <v>0</v>
      </c>
      <c r="B1818" s="17" t="s">
        <v>0</v>
      </c>
      <c r="C1818" s="5" t="s">
        <v>0</v>
      </c>
      <c r="D1818" s="7" t="s">
        <v>0</v>
      </c>
      <c r="E1818" s="7" t="s">
        <v>0</v>
      </c>
      <c r="F1818" s="7" t="s">
        <v>0</v>
      </c>
      <c r="G1818" s="7" t="s">
        <v>0</v>
      </c>
      <c r="H1818" s="7" t="s">
        <v>0</v>
      </c>
      <c r="I1818" s="7"/>
      <c r="J1818" s="7"/>
    </row>
    <row r="1819" spans="1:10" ht="38.25">
      <c r="A1819" s="4" t="s">
        <v>1085</v>
      </c>
      <c r="B1819" s="5" t="s">
        <v>1086</v>
      </c>
      <c r="C1819" s="5" t="s">
        <v>0</v>
      </c>
      <c r="D1819" s="7">
        <f>D1820</f>
        <v>27799.8</v>
      </c>
      <c r="E1819" s="7">
        <f>E1820</f>
        <v>27799.8</v>
      </c>
      <c r="F1819" s="7">
        <f t="shared" ref="F1819:G1819" si="984">F1820</f>
        <v>20882.5</v>
      </c>
      <c r="G1819" s="7">
        <f t="shared" si="984"/>
        <v>20882.5</v>
      </c>
      <c r="H1819" s="7">
        <f>H1820</f>
        <v>19386.276560000002</v>
      </c>
      <c r="I1819" s="7">
        <f t="shared" si="973"/>
        <v>69.735309462658009</v>
      </c>
      <c r="J1819" s="7">
        <f t="shared" si="974"/>
        <v>92.8350368011493</v>
      </c>
    </row>
    <row r="1820" spans="1:10" ht="25.5">
      <c r="A1820" s="8" t="s">
        <v>58</v>
      </c>
      <c r="B1820" s="1" t="s">
        <v>1087</v>
      </c>
      <c r="C1820" s="1" t="s">
        <v>0</v>
      </c>
      <c r="D1820" s="9">
        <f>D1821+D1823+D1825</f>
        <v>27799.8</v>
      </c>
      <c r="E1820" s="9">
        <f>E1821+E1823+E1825</f>
        <v>27799.8</v>
      </c>
      <c r="F1820" s="9">
        <f t="shared" ref="F1820:G1820" si="985">F1821+F1823+F1825</f>
        <v>20882.5</v>
      </c>
      <c r="G1820" s="9">
        <f t="shared" si="985"/>
        <v>20882.5</v>
      </c>
      <c r="H1820" s="9">
        <f>H1821+H1823+H1825</f>
        <v>19386.276560000002</v>
      </c>
      <c r="I1820" s="9">
        <f t="shared" si="973"/>
        <v>69.735309462658009</v>
      </c>
      <c r="J1820" s="9">
        <f t="shared" si="974"/>
        <v>92.8350368011493</v>
      </c>
    </row>
    <row r="1821" spans="1:10" ht="51">
      <c r="A1821" s="8" t="s">
        <v>60</v>
      </c>
      <c r="B1821" s="1" t="s">
        <v>1087</v>
      </c>
      <c r="C1821" s="1" t="s">
        <v>61</v>
      </c>
      <c r="D1821" s="9">
        <f>D1822</f>
        <v>25985.5</v>
      </c>
      <c r="E1821" s="9">
        <f>E1822</f>
        <v>25942.652829999999</v>
      </c>
      <c r="F1821" s="9">
        <f t="shared" ref="F1821:G1821" si="986">F1822</f>
        <v>19465.152829999999</v>
      </c>
      <c r="G1821" s="9">
        <f t="shared" si="986"/>
        <v>19465.152829999999</v>
      </c>
      <c r="H1821" s="9">
        <f>H1822</f>
        <v>18391.702560000002</v>
      </c>
      <c r="I1821" s="9">
        <f t="shared" si="973"/>
        <v>70.89368493083289</v>
      </c>
      <c r="J1821" s="9">
        <f t="shared" si="974"/>
        <v>94.485271811760043</v>
      </c>
    </row>
    <row r="1822" spans="1:10" ht="25.5">
      <c r="A1822" s="8" t="s">
        <v>62</v>
      </c>
      <c r="B1822" s="1" t="s">
        <v>1087</v>
      </c>
      <c r="C1822" s="1" t="s">
        <v>63</v>
      </c>
      <c r="D1822" s="9">
        <f>ведомство!G2890</f>
        <v>25985.5</v>
      </c>
      <c r="E1822" s="9">
        <f>ведомство!H2890</f>
        <v>25942.652829999999</v>
      </c>
      <c r="F1822" s="9">
        <f>ведомство!I2890</f>
        <v>19465.152829999999</v>
      </c>
      <c r="G1822" s="9">
        <f>ведомство!J2890</f>
        <v>19465.152829999999</v>
      </c>
      <c r="H1822" s="9">
        <f>ведомство!K2890</f>
        <v>18391.702560000002</v>
      </c>
      <c r="I1822" s="9">
        <f t="shared" si="973"/>
        <v>70.89368493083289</v>
      </c>
      <c r="J1822" s="9">
        <f t="shared" si="974"/>
        <v>94.485271811760043</v>
      </c>
    </row>
    <row r="1823" spans="1:10" ht="25.5">
      <c r="A1823" s="8" t="s">
        <v>64</v>
      </c>
      <c r="B1823" s="1" t="s">
        <v>1087</v>
      </c>
      <c r="C1823" s="1" t="s">
        <v>65</v>
      </c>
      <c r="D1823" s="9">
        <f>D1824</f>
        <v>1812.3</v>
      </c>
      <c r="E1823" s="9">
        <f>E1824</f>
        <v>1812.3</v>
      </c>
      <c r="F1823" s="9">
        <f t="shared" ref="F1823:G1823" si="987">F1824</f>
        <v>1373</v>
      </c>
      <c r="G1823" s="9">
        <f t="shared" si="987"/>
        <v>1373</v>
      </c>
      <c r="H1823" s="9">
        <f>H1824</f>
        <v>951.72682999999995</v>
      </c>
      <c r="I1823" s="9">
        <f t="shared" si="973"/>
        <v>52.514861226066323</v>
      </c>
      <c r="J1823" s="9">
        <f t="shared" si="974"/>
        <v>69.317321922796793</v>
      </c>
    </row>
    <row r="1824" spans="1:10" ht="25.5">
      <c r="A1824" s="8" t="s">
        <v>66</v>
      </c>
      <c r="B1824" s="1" t="s">
        <v>1087</v>
      </c>
      <c r="C1824" s="1" t="s">
        <v>67</v>
      </c>
      <c r="D1824" s="9">
        <f>ведомство!G2892</f>
        <v>1812.3</v>
      </c>
      <c r="E1824" s="9">
        <f>ведомство!H2892</f>
        <v>1812.3</v>
      </c>
      <c r="F1824" s="9">
        <f>ведомство!I2892</f>
        <v>1373</v>
      </c>
      <c r="G1824" s="9">
        <f>ведомство!J2892</f>
        <v>1373</v>
      </c>
      <c r="H1824" s="9">
        <f>ведомство!K2892</f>
        <v>951.72682999999995</v>
      </c>
      <c r="I1824" s="9">
        <f t="shared" si="973"/>
        <v>52.514861226066323</v>
      </c>
      <c r="J1824" s="9">
        <f t="shared" si="974"/>
        <v>69.317321922796793</v>
      </c>
    </row>
    <row r="1825" spans="1:10">
      <c r="A1825" s="8" t="s">
        <v>72</v>
      </c>
      <c r="B1825" s="1" t="s">
        <v>1087</v>
      </c>
      <c r="C1825" s="1" t="s">
        <v>73</v>
      </c>
      <c r="D1825" s="9">
        <f>D1827</f>
        <v>2</v>
      </c>
      <c r="E1825" s="9">
        <f>E1827+E1826</f>
        <v>44.847169999999998</v>
      </c>
      <c r="F1825" s="9">
        <f t="shared" ref="F1825:G1825" si="988">F1827+F1826</f>
        <v>44.347169999999998</v>
      </c>
      <c r="G1825" s="9">
        <f t="shared" si="988"/>
        <v>44.347169999999998</v>
      </c>
      <c r="H1825" s="9">
        <f>H1827+H1826</f>
        <v>42.847169999999998</v>
      </c>
      <c r="I1825" s="9">
        <f t="shared" si="973"/>
        <v>95.54040979620342</v>
      </c>
      <c r="J1825" s="9">
        <f t="shared" si="974"/>
        <v>96.617597019155895</v>
      </c>
    </row>
    <row r="1826" spans="1:10" s="92" customFormat="1">
      <c r="A1826" s="59" t="s">
        <v>84</v>
      </c>
      <c r="B1826" s="1" t="s">
        <v>1087</v>
      </c>
      <c r="C1826" s="1">
        <v>830</v>
      </c>
      <c r="D1826" s="9"/>
      <c r="E1826" s="9">
        <f>ведомство!H2894</f>
        <v>42.847169999999998</v>
      </c>
      <c r="F1826" s="9">
        <f>ведомство!I2894</f>
        <v>42.847169999999998</v>
      </c>
      <c r="G1826" s="9">
        <f>ведомство!J2894</f>
        <v>42.847169999999998</v>
      </c>
      <c r="H1826" s="9">
        <f>ведомство!K2894</f>
        <v>42.847169999999998</v>
      </c>
      <c r="I1826" s="9">
        <f t="shared" ref="I1826" si="989">H1826/E1826*100</f>
        <v>100</v>
      </c>
      <c r="J1826" s="9">
        <f t="shared" ref="J1826" si="990">H1826/F1826*100</f>
        <v>100</v>
      </c>
    </row>
    <row r="1827" spans="1:10">
      <c r="A1827" s="8" t="s">
        <v>74</v>
      </c>
      <c r="B1827" s="1" t="s">
        <v>1087</v>
      </c>
      <c r="C1827" s="1" t="s">
        <v>75</v>
      </c>
      <c r="D1827" s="9">
        <f>ведомство!G2895</f>
        <v>2</v>
      </c>
      <c r="E1827" s="9">
        <f>ведомство!H2895</f>
        <v>2</v>
      </c>
      <c r="F1827" s="9">
        <f>ведомство!I2895</f>
        <v>1.5</v>
      </c>
      <c r="G1827" s="9">
        <f>ведомство!J2895</f>
        <v>1.5</v>
      </c>
      <c r="H1827" s="9">
        <f>ведомство!K2895</f>
        <v>0</v>
      </c>
      <c r="I1827" s="9">
        <f t="shared" si="973"/>
        <v>0</v>
      </c>
      <c r="J1827" s="9">
        <f t="shared" si="974"/>
        <v>0</v>
      </c>
    </row>
    <row r="1828" spans="1:10">
      <c r="A1828" s="4" t="s">
        <v>0</v>
      </c>
      <c r="B1828" s="17" t="s">
        <v>0</v>
      </c>
      <c r="C1828" s="5" t="s">
        <v>0</v>
      </c>
      <c r="D1828" s="7" t="s">
        <v>0</v>
      </c>
      <c r="E1828" s="7" t="s">
        <v>0</v>
      </c>
      <c r="F1828" s="7" t="s">
        <v>0</v>
      </c>
      <c r="G1828" s="7" t="s">
        <v>0</v>
      </c>
      <c r="H1828" s="7" t="s">
        <v>0</v>
      </c>
      <c r="I1828" s="7"/>
      <c r="J1828" s="7"/>
    </row>
    <row r="1829" spans="1:10" ht="38.25">
      <c r="A1829" s="34" t="s">
        <v>734</v>
      </c>
      <c r="B1829" s="5" t="s">
        <v>735</v>
      </c>
      <c r="C1829" s="5" t="s">
        <v>0</v>
      </c>
      <c r="D1829" s="7">
        <f>D1830+D1840+D1850+D1858+D1873</f>
        <v>1373518.1</v>
      </c>
      <c r="E1829" s="7">
        <f>E1830+E1840+E1850+E1858+E1873</f>
        <v>1366816.50238</v>
      </c>
      <c r="F1829" s="7">
        <f t="shared" ref="F1829:G1829" si="991">F1830+F1840+F1850+F1858+F1873</f>
        <v>1005457.2999100001</v>
      </c>
      <c r="G1829" s="7">
        <f t="shared" si="991"/>
        <v>994692.48991000012</v>
      </c>
      <c r="H1829" s="7">
        <f>H1830+H1840+H1850+H1858+H1873</f>
        <v>964900.64330999996</v>
      </c>
      <c r="I1829" s="7">
        <f t="shared" si="973"/>
        <v>70.594746378160124</v>
      </c>
      <c r="J1829" s="7">
        <f t="shared" si="974"/>
        <v>95.966347193100049</v>
      </c>
    </row>
    <row r="1830" spans="1:10" ht="51">
      <c r="A1830" s="4" t="s">
        <v>972</v>
      </c>
      <c r="B1830" s="5" t="s">
        <v>973</v>
      </c>
      <c r="C1830" s="5" t="s">
        <v>0</v>
      </c>
      <c r="D1830" s="7">
        <f>D1834</f>
        <v>8492.5</v>
      </c>
      <c r="E1830" s="7">
        <f>E1834+E1831</f>
        <v>9389.11</v>
      </c>
      <c r="F1830" s="7">
        <f t="shared" ref="F1830:G1830" si="992">F1834+F1831</f>
        <v>6055.6460000000006</v>
      </c>
      <c r="G1830" s="7">
        <f t="shared" si="992"/>
        <v>6055.6460000000006</v>
      </c>
      <c r="H1830" s="7">
        <f>H1834+H1831</f>
        <v>5691.2658000000001</v>
      </c>
      <c r="I1830" s="7">
        <f t="shared" si="973"/>
        <v>60.615604673925425</v>
      </c>
      <c r="J1830" s="7">
        <f t="shared" si="974"/>
        <v>93.982802165119949</v>
      </c>
    </row>
    <row r="1831" spans="1:10" s="92" customFormat="1" ht="25.5">
      <c r="A1831" s="62" t="s">
        <v>1275</v>
      </c>
      <c r="B1831" s="29" t="s">
        <v>1274</v>
      </c>
      <c r="C1831" s="58"/>
      <c r="D1831" s="7"/>
      <c r="E1831" s="22">
        <f>E1832</f>
        <v>896.61</v>
      </c>
      <c r="F1831" s="22">
        <f t="shared" ref="F1831:G1832" si="993">F1832</f>
        <v>0</v>
      </c>
      <c r="G1831" s="22">
        <f t="shared" si="993"/>
        <v>0</v>
      </c>
      <c r="H1831" s="22">
        <f>H1832</f>
        <v>0</v>
      </c>
      <c r="I1831" s="22">
        <f t="shared" ref="I1831:I1833" si="994">H1831/E1831*100</f>
        <v>0</v>
      </c>
      <c r="J1831" s="22">
        <v>0</v>
      </c>
    </row>
    <row r="1832" spans="1:10" s="92" customFormat="1" ht="25.5">
      <c r="A1832" s="59" t="s">
        <v>64</v>
      </c>
      <c r="B1832" s="29" t="s">
        <v>1274</v>
      </c>
      <c r="C1832" s="28">
        <v>200</v>
      </c>
      <c r="D1832" s="7"/>
      <c r="E1832" s="22">
        <f>E1833</f>
        <v>896.61</v>
      </c>
      <c r="F1832" s="22">
        <f t="shared" si="993"/>
        <v>0</v>
      </c>
      <c r="G1832" s="22">
        <f t="shared" si="993"/>
        <v>0</v>
      </c>
      <c r="H1832" s="22">
        <f>H1833</f>
        <v>0</v>
      </c>
      <c r="I1832" s="22">
        <f t="shared" si="994"/>
        <v>0</v>
      </c>
      <c r="J1832" s="22">
        <v>0</v>
      </c>
    </row>
    <row r="1833" spans="1:10" s="92" customFormat="1" ht="25.5">
      <c r="A1833" s="59" t="s">
        <v>66</v>
      </c>
      <c r="B1833" s="29" t="s">
        <v>1274</v>
      </c>
      <c r="C1833" s="28">
        <v>240</v>
      </c>
      <c r="D1833" s="7"/>
      <c r="E1833" s="22">
        <f>ведомство!H2524</f>
        <v>896.61</v>
      </c>
      <c r="F1833" s="22">
        <f>ведомство!I2524</f>
        <v>0</v>
      </c>
      <c r="G1833" s="22">
        <f>ведомство!J2524</f>
        <v>0</v>
      </c>
      <c r="H1833" s="22">
        <f>ведомство!K2524</f>
        <v>0</v>
      </c>
      <c r="I1833" s="22">
        <f t="shared" si="994"/>
        <v>0</v>
      </c>
      <c r="J1833" s="22">
        <v>0</v>
      </c>
    </row>
    <row r="1834" spans="1:10" ht="25.5">
      <c r="A1834" s="8" t="s">
        <v>76</v>
      </c>
      <c r="B1834" s="1" t="s">
        <v>974</v>
      </c>
      <c r="C1834" s="1" t="s">
        <v>0</v>
      </c>
      <c r="D1834" s="9">
        <f>D1835+D1837</f>
        <v>8492.5</v>
      </c>
      <c r="E1834" s="9">
        <f>E1835+E1837</f>
        <v>8492.5</v>
      </c>
      <c r="F1834" s="9">
        <f t="shared" ref="F1834:G1834" si="995">F1835+F1837</f>
        <v>6055.6460000000006</v>
      </c>
      <c r="G1834" s="9">
        <f t="shared" si="995"/>
        <v>6055.6460000000006</v>
      </c>
      <c r="H1834" s="9">
        <f>H1835+H1837</f>
        <v>5691.2658000000001</v>
      </c>
      <c r="I1834" s="9">
        <f t="shared" si="973"/>
        <v>67.015199293494263</v>
      </c>
      <c r="J1834" s="9">
        <f t="shared" si="974"/>
        <v>93.982802165119949</v>
      </c>
    </row>
    <row r="1835" spans="1:10" ht="51">
      <c r="A1835" s="8" t="s">
        <v>60</v>
      </c>
      <c r="B1835" s="1" t="s">
        <v>974</v>
      </c>
      <c r="C1835" s="1" t="s">
        <v>61</v>
      </c>
      <c r="D1835" s="9">
        <f>D1836</f>
        <v>4694.3999999999996</v>
      </c>
      <c r="E1835" s="9">
        <f>E1836</f>
        <v>4694.3999999999996</v>
      </c>
      <c r="F1835" s="9">
        <f t="shared" ref="F1835:G1835" si="996">F1836</f>
        <v>3446</v>
      </c>
      <c r="G1835" s="9">
        <f t="shared" si="996"/>
        <v>3446</v>
      </c>
      <c r="H1835" s="9">
        <f>H1836</f>
        <v>3412.5684300000003</v>
      </c>
      <c r="I1835" s="9">
        <f t="shared" si="973"/>
        <v>72.69445360429448</v>
      </c>
      <c r="J1835" s="9">
        <f t="shared" si="974"/>
        <v>99.02984416715033</v>
      </c>
    </row>
    <row r="1836" spans="1:10">
      <c r="A1836" s="8" t="s">
        <v>78</v>
      </c>
      <c r="B1836" s="1" t="s">
        <v>974</v>
      </c>
      <c r="C1836" s="1" t="s">
        <v>79</v>
      </c>
      <c r="D1836" s="9">
        <f>ведомство!G2527</f>
        <v>4694.3999999999996</v>
      </c>
      <c r="E1836" s="9">
        <f>ведомство!H2527</f>
        <v>4694.3999999999996</v>
      </c>
      <c r="F1836" s="9">
        <f>ведомство!I2527</f>
        <v>3446</v>
      </c>
      <c r="G1836" s="9">
        <f>ведомство!J2527</f>
        <v>3446</v>
      </c>
      <c r="H1836" s="9">
        <f>ведомство!K2527</f>
        <v>3412.5684300000003</v>
      </c>
      <c r="I1836" s="9">
        <f t="shared" si="973"/>
        <v>72.69445360429448</v>
      </c>
      <c r="J1836" s="9">
        <f t="shared" si="974"/>
        <v>99.02984416715033</v>
      </c>
    </row>
    <row r="1837" spans="1:10" ht="25.5">
      <c r="A1837" s="8" t="s">
        <v>64</v>
      </c>
      <c r="B1837" s="1" t="s">
        <v>974</v>
      </c>
      <c r="C1837" s="1" t="s">
        <v>65</v>
      </c>
      <c r="D1837" s="9">
        <f>D1838</f>
        <v>3798.1</v>
      </c>
      <c r="E1837" s="9">
        <f>E1838</f>
        <v>3798.1</v>
      </c>
      <c r="F1837" s="9">
        <f t="shared" ref="F1837:G1837" si="997">F1838</f>
        <v>2609.6460000000002</v>
      </c>
      <c r="G1837" s="9">
        <f t="shared" si="997"/>
        <v>2609.6460000000002</v>
      </c>
      <c r="H1837" s="9">
        <f>H1838</f>
        <v>2278.6973699999999</v>
      </c>
      <c r="I1837" s="9">
        <f t="shared" si="973"/>
        <v>59.995718122219003</v>
      </c>
      <c r="J1837" s="9">
        <f t="shared" si="974"/>
        <v>87.318255809408612</v>
      </c>
    </row>
    <row r="1838" spans="1:10" ht="25.5">
      <c r="A1838" s="8" t="s">
        <v>66</v>
      </c>
      <c r="B1838" s="1" t="s">
        <v>974</v>
      </c>
      <c r="C1838" s="1" t="s">
        <v>67</v>
      </c>
      <c r="D1838" s="9">
        <f>ведомство!G2529</f>
        <v>3798.1</v>
      </c>
      <c r="E1838" s="9">
        <f>ведомство!H2529</f>
        <v>3798.1</v>
      </c>
      <c r="F1838" s="9">
        <f>ведомство!I2529</f>
        <v>2609.6460000000002</v>
      </c>
      <c r="G1838" s="9">
        <f>ведомство!J2529</f>
        <v>2609.6460000000002</v>
      </c>
      <c r="H1838" s="9">
        <f>ведомство!K2529</f>
        <v>2278.6973699999999</v>
      </c>
      <c r="I1838" s="9">
        <f t="shared" si="973"/>
        <v>59.995718122219003</v>
      </c>
      <c r="J1838" s="9">
        <f t="shared" si="974"/>
        <v>87.318255809408612</v>
      </c>
    </row>
    <row r="1839" spans="1:10">
      <c r="A1839" s="4" t="s">
        <v>0</v>
      </c>
      <c r="B1839" s="17" t="s">
        <v>0</v>
      </c>
      <c r="C1839" s="5" t="s">
        <v>0</v>
      </c>
      <c r="D1839" s="7" t="s">
        <v>0</v>
      </c>
      <c r="E1839" s="7" t="s">
        <v>0</v>
      </c>
      <c r="F1839" s="7" t="s">
        <v>0</v>
      </c>
      <c r="G1839" s="7" t="s">
        <v>0</v>
      </c>
      <c r="H1839" s="7" t="s">
        <v>0</v>
      </c>
      <c r="I1839" s="7"/>
      <c r="J1839" s="7"/>
    </row>
    <row r="1840" spans="1:10" ht="51">
      <c r="A1840" s="34" t="s">
        <v>975</v>
      </c>
      <c r="B1840" s="5" t="s">
        <v>976</v>
      </c>
      <c r="C1840" s="5" t="s">
        <v>0</v>
      </c>
      <c r="D1840" s="7">
        <f>D1841+D1844</f>
        <v>353436.5</v>
      </c>
      <c r="E1840" s="7">
        <f>E1841+E1844</f>
        <v>353436.5</v>
      </c>
      <c r="F1840" s="7">
        <f t="shared" ref="F1840:G1840" si="998">F1841+F1844</f>
        <v>266437.90000000002</v>
      </c>
      <c r="G1840" s="7">
        <f t="shared" si="998"/>
        <v>266416.64000000001</v>
      </c>
      <c r="H1840" s="7">
        <f>H1841+H1844</f>
        <v>266416.64000000001</v>
      </c>
      <c r="I1840" s="7">
        <f t="shared" si="973"/>
        <v>75.378926624726077</v>
      </c>
      <c r="J1840" s="7">
        <f t="shared" si="974"/>
        <v>99.992020654719155</v>
      </c>
    </row>
    <row r="1841" spans="1:10" ht="25.5">
      <c r="A1841" s="25" t="s">
        <v>76</v>
      </c>
      <c r="B1841" s="1" t="s">
        <v>977</v>
      </c>
      <c r="C1841" s="1" t="s">
        <v>0</v>
      </c>
      <c r="D1841" s="9">
        <f>D1842</f>
        <v>221727.5</v>
      </c>
      <c r="E1841" s="9">
        <f>E1842</f>
        <v>221727.5</v>
      </c>
      <c r="F1841" s="9">
        <f t="shared" ref="F1841:G1842" si="999">F1842</f>
        <v>134728.9</v>
      </c>
      <c r="G1841" s="9">
        <f t="shared" si="999"/>
        <v>134728.9</v>
      </c>
      <c r="H1841" s="9">
        <f>H1842</f>
        <v>134728.9</v>
      </c>
      <c r="I1841" s="9">
        <f t="shared" si="973"/>
        <v>60.763279250431268</v>
      </c>
      <c r="J1841" s="9">
        <f t="shared" si="974"/>
        <v>100</v>
      </c>
    </row>
    <row r="1842" spans="1:10" ht="25.5">
      <c r="A1842" s="8" t="s">
        <v>80</v>
      </c>
      <c r="B1842" s="1" t="s">
        <v>977</v>
      </c>
      <c r="C1842" s="1" t="s">
        <v>81</v>
      </c>
      <c r="D1842" s="9">
        <f>D1843</f>
        <v>221727.5</v>
      </c>
      <c r="E1842" s="9">
        <f>E1843</f>
        <v>221727.5</v>
      </c>
      <c r="F1842" s="9">
        <f t="shared" si="999"/>
        <v>134728.9</v>
      </c>
      <c r="G1842" s="9">
        <f t="shared" si="999"/>
        <v>134728.9</v>
      </c>
      <c r="H1842" s="9">
        <f>H1843</f>
        <v>134728.9</v>
      </c>
      <c r="I1842" s="9">
        <f t="shared" si="973"/>
        <v>60.763279250431268</v>
      </c>
      <c r="J1842" s="9">
        <f t="shared" si="974"/>
        <v>100</v>
      </c>
    </row>
    <row r="1843" spans="1:10">
      <c r="A1843" s="8" t="s">
        <v>82</v>
      </c>
      <c r="B1843" s="1" t="s">
        <v>977</v>
      </c>
      <c r="C1843" s="1" t="s">
        <v>83</v>
      </c>
      <c r="D1843" s="9">
        <f>ведомство!G900</f>
        <v>221727.5</v>
      </c>
      <c r="E1843" s="9">
        <f>ведомство!H900</f>
        <v>221727.5</v>
      </c>
      <c r="F1843" s="9">
        <f>ведомство!I900</f>
        <v>134728.9</v>
      </c>
      <c r="G1843" s="9">
        <f>ведомство!J900</f>
        <v>134728.9</v>
      </c>
      <c r="H1843" s="9">
        <f>ведомство!K900</f>
        <v>134728.9</v>
      </c>
      <c r="I1843" s="9">
        <f t="shared" si="973"/>
        <v>60.763279250431268</v>
      </c>
      <c r="J1843" s="9">
        <f t="shared" si="974"/>
        <v>100</v>
      </c>
    </row>
    <row r="1844" spans="1:10" ht="25.5">
      <c r="A1844" s="25" t="s">
        <v>748</v>
      </c>
      <c r="B1844" s="1" t="s">
        <v>978</v>
      </c>
      <c r="C1844" s="1" t="s">
        <v>0</v>
      </c>
      <c r="D1844" s="9">
        <f>D1845+D1847</f>
        <v>131709</v>
      </c>
      <c r="E1844" s="9">
        <f>E1845+E1847</f>
        <v>131709</v>
      </c>
      <c r="F1844" s="9">
        <f t="shared" ref="F1844:G1844" si="1000">F1845+F1847</f>
        <v>131709</v>
      </c>
      <c r="G1844" s="9">
        <f t="shared" si="1000"/>
        <v>131687.74</v>
      </c>
      <c r="H1844" s="9">
        <f>H1845+H1847</f>
        <v>131687.74</v>
      </c>
      <c r="I1844" s="9">
        <f t="shared" si="973"/>
        <v>99.9838583544025</v>
      </c>
      <c r="J1844" s="9">
        <f t="shared" si="974"/>
        <v>99.9838583544025</v>
      </c>
    </row>
    <row r="1845" spans="1:10" ht="25.5">
      <c r="A1845" s="8" t="s">
        <v>39</v>
      </c>
      <c r="B1845" s="1" t="s">
        <v>978</v>
      </c>
      <c r="C1845" s="1" t="s">
        <v>40</v>
      </c>
      <c r="D1845" s="9">
        <f>D1846</f>
        <v>49600</v>
      </c>
      <c r="E1845" s="9">
        <f>E1846</f>
        <v>49600</v>
      </c>
      <c r="F1845" s="9">
        <f t="shared" ref="F1845:G1845" si="1001">F1846</f>
        <v>49600</v>
      </c>
      <c r="G1845" s="9">
        <f t="shared" si="1001"/>
        <v>49578.74</v>
      </c>
      <c r="H1845" s="9">
        <f>H1846</f>
        <v>49578.74</v>
      </c>
      <c r="I1845" s="9">
        <f t="shared" si="973"/>
        <v>99.95713709677419</v>
      </c>
      <c r="J1845" s="9">
        <f t="shared" si="974"/>
        <v>99.95713709677419</v>
      </c>
    </row>
    <row r="1846" spans="1:10" ht="76.5">
      <c r="A1846" s="8" t="s">
        <v>410</v>
      </c>
      <c r="B1846" s="1" t="s">
        <v>978</v>
      </c>
      <c r="C1846" s="1" t="s">
        <v>411</v>
      </c>
      <c r="D1846" s="9">
        <f>ведомство!G903</f>
        <v>49600</v>
      </c>
      <c r="E1846" s="9">
        <f>ведомство!H903</f>
        <v>49600</v>
      </c>
      <c r="F1846" s="9">
        <f>ведомство!I903</f>
        <v>49600</v>
      </c>
      <c r="G1846" s="9">
        <f>ведомство!J903</f>
        <v>49578.74</v>
      </c>
      <c r="H1846" s="9">
        <f>ведомство!K903</f>
        <v>49578.74</v>
      </c>
      <c r="I1846" s="9">
        <f t="shared" si="973"/>
        <v>99.95713709677419</v>
      </c>
      <c r="J1846" s="9">
        <f t="shared" si="974"/>
        <v>99.95713709677419</v>
      </c>
    </row>
    <row r="1847" spans="1:10" ht="25.5">
      <c r="A1847" s="8" t="s">
        <v>80</v>
      </c>
      <c r="B1847" s="1" t="s">
        <v>978</v>
      </c>
      <c r="C1847" s="1" t="s">
        <v>81</v>
      </c>
      <c r="D1847" s="9">
        <f>D1848</f>
        <v>82109</v>
      </c>
      <c r="E1847" s="9">
        <f>E1848</f>
        <v>82109</v>
      </c>
      <c r="F1847" s="9">
        <f t="shared" ref="F1847:G1847" si="1002">F1848</f>
        <v>82109</v>
      </c>
      <c r="G1847" s="9">
        <f t="shared" si="1002"/>
        <v>82109</v>
      </c>
      <c r="H1847" s="9">
        <f>H1848</f>
        <v>82109</v>
      </c>
      <c r="I1847" s="9">
        <f t="shared" si="973"/>
        <v>100</v>
      </c>
      <c r="J1847" s="9">
        <f t="shared" si="974"/>
        <v>100</v>
      </c>
    </row>
    <row r="1848" spans="1:10">
      <c r="A1848" s="8" t="s">
        <v>82</v>
      </c>
      <c r="B1848" s="1" t="s">
        <v>978</v>
      </c>
      <c r="C1848" s="1" t="s">
        <v>83</v>
      </c>
      <c r="D1848" s="9">
        <f>ведомство!G905</f>
        <v>82109</v>
      </c>
      <c r="E1848" s="9">
        <f>ведомство!H905</f>
        <v>82109</v>
      </c>
      <c r="F1848" s="9">
        <f>ведомство!I905</f>
        <v>82109</v>
      </c>
      <c r="G1848" s="9">
        <f>ведомство!J905</f>
        <v>82109</v>
      </c>
      <c r="H1848" s="9">
        <f>ведомство!K905</f>
        <v>82109</v>
      </c>
      <c r="I1848" s="9">
        <f t="shared" si="973"/>
        <v>100</v>
      </c>
      <c r="J1848" s="9">
        <f t="shared" si="974"/>
        <v>100</v>
      </c>
    </row>
    <row r="1849" spans="1:10">
      <c r="A1849" s="4" t="s">
        <v>0</v>
      </c>
      <c r="B1849" s="17" t="s">
        <v>0</v>
      </c>
      <c r="C1849" s="5" t="s">
        <v>0</v>
      </c>
      <c r="D1849" s="7" t="s">
        <v>0</v>
      </c>
      <c r="E1849" s="7" t="s">
        <v>0</v>
      </c>
      <c r="F1849" s="7" t="s">
        <v>0</v>
      </c>
      <c r="G1849" s="7" t="s">
        <v>0</v>
      </c>
      <c r="H1849" s="7" t="s">
        <v>0</v>
      </c>
      <c r="I1849" s="7"/>
      <c r="J1849" s="7"/>
    </row>
    <row r="1850" spans="1:10" ht="25.5">
      <c r="A1850" s="34" t="s">
        <v>979</v>
      </c>
      <c r="B1850" s="5" t="s">
        <v>980</v>
      </c>
      <c r="C1850" s="5" t="s">
        <v>0</v>
      </c>
      <c r="D1850" s="7">
        <f>D1851+D1854</f>
        <v>78809.599999999991</v>
      </c>
      <c r="E1850" s="7">
        <f>E1851+E1854</f>
        <v>78809.599999999991</v>
      </c>
      <c r="F1850" s="7">
        <f t="shared" ref="F1850:G1850" si="1003">F1851+F1854</f>
        <v>61144.800000000003</v>
      </c>
      <c r="G1850" s="7">
        <f t="shared" si="1003"/>
        <v>50426.25</v>
      </c>
      <c r="H1850" s="7">
        <f>H1851+H1854</f>
        <v>50426.25</v>
      </c>
      <c r="I1850" s="7">
        <f t="shared" si="973"/>
        <v>63.984907929998379</v>
      </c>
      <c r="J1850" s="7">
        <f t="shared" si="974"/>
        <v>82.470218236056041</v>
      </c>
    </row>
    <row r="1851" spans="1:10" ht="25.5">
      <c r="A1851" s="8" t="s">
        <v>76</v>
      </c>
      <c r="B1851" s="1" t="s">
        <v>981</v>
      </c>
      <c r="C1851" s="1" t="s">
        <v>0</v>
      </c>
      <c r="D1851" s="9">
        <f>D1852</f>
        <v>66082.7</v>
      </c>
      <c r="E1851" s="9">
        <f>E1852</f>
        <v>66082.7</v>
      </c>
      <c r="F1851" s="9">
        <f t="shared" ref="F1851:G1852" si="1004">F1852</f>
        <v>51417.9</v>
      </c>
      <c r="G1851" s="9">
        <f t="shared" si="1004"/>
        <v>40699.35</v>
      </c>
      <c r="H1851" s="9">
        <f>H1852</f>
        <v>40699.35</v>
      </c>
      <c r="I1851" s="9">
        <f t="shared" si="973"/>
        <v>61.588509549397955</v>
      </c>
      <c r="J1851" s="9">
        <f t="shared" si="974"/>
        <v>79.154049465264038</v>
      </c>
    </row>
    <row r="1852" spans="1:10" ht="25.5">
      <c r="A1852" s="8" t="s">
        <v>80</v>
      </c>
      <c r="B1852" s="1" t="s">
        <v>981</v>
      </c>
      <c r="C1852" s="1" t="s">
        <v>81</v>
      </c>
      <c r="D1852" s="9">
        <f>D1853</f>
        <v>66082.7</v>
      </c>
      <c r="E1852" s="9">
        <f>E1853</f>
        <v>66082.7</v>
      </c>
      <c r="F1852" s="9">
        <f t="shared" si="1004"/>
        <v>51417.9</v>
      </c>
      <c r="G1852" s="9">
        <f t="shared" si="1004"/>
        <v>40699.35</v>
      </c>
      <c r="H1852" s="9">
        <f>H1853</f>
        <v>40699.35</v>
      </c>
      <c r="I1852" s="9">
        <f t="shared" si="973"/>
        <v>61.588509549397955</v>
      </c>
      <c r="J1852" s="9">
        <f t="shared" si="974"/>
        <v>79.154049465264038</v>
      </c>
    </row>
    <row r="1853" spans="1:10">
      <c r="A1853" s="8" t="s">
        <v>82</v>
      </c>
      <c r="B1853" s="1" t="s">
        <v>981</v>
      </c>
      <c r="C1853" s="1" t="s">
        <v>83</v>
      </c>
      <c r="D1853" s="9">
        <f>ведомство!G909</f>
        <v>66082.7</v>
      </c>
      <c r="E1853" s="9">
        <f>ведомство!H909</f>
        <v>66082.7</v>
      </c>
      <c r="F1853" s="9">
        <f>ведомство!I909</f>
        <v>51417.9</v>
      </c>
      <c r="G1853" s="9">
        <f>ведомство!J909</f>
        <v>40699.35</v>
      </c>
      <c r="H1853" s="9">
        <f>ведомство!K909</f>
        <v>40699.35</v>
      </c>
      <c r="I1853" s="9">
        <f t="shared" si="973"/>
        <v>61.588509549397955</v>
      </c>
      <c r="J1853" s="9">
        <f t="shared" si="974"/>
        <v>79.154049465264038</v>
      </c>
    </row>
    <row r="1854" spans="1:10" ht="25.5">
      <c r="A1854" s="25" t="s">
        <v>748</v>
      </c>
      <c r="B1854" s="1" t="s">
        <v>982</v>
      </c>
      <c r="C1854" s="1" t="s">
        <v>0</v>
      </c>
      <c r="D1854" s="9">
        <f>D1855</f>
        <v>12726.9</v>
      </c>
      <c r="E1854" s="9">
        <f>E1855</f>
        <v>12726.9</v>
      </c>
      <c r="F1854" s="9">
        <f t="shared" ref="F1854:G1855" si="1005">F1855</f>
        <v>9726.9</v>
      </c>
      <c r="G1854" s="9">
        <f t="shared" si="1005"/>
        <v>9726.9</v>
      </c>
      <c r="H1854" s="9">
        <f>H1855</f>
        <v>9726.9</v>
      </c>
      <c r="I1854" s="9">
        <f t="shared" ref="I1854:I1924" si="1006">H1854/E1854*100</f>
        <v>76.427881102232277</v>
      </c>
      <c r="J1854" s="9">
        <f t="shared" ref="J1854:J1923" si="1007">H1854/F1854*100</f>
        <v>100</v>
      </c>
    </row>
    <row r="1855" spans="1:10" ht="25.5">
      <c r="A1855" s="8" t="s">
        <v>80</v>
      </c>
      <c r="B1855" s="1" t="s">
        <v>982</v>
      </c>
      <c r="C1855" s="1" t="s">
        <v>81</v>
      </c>
      <c r="D1855" s="9">
        <f>D1856</f>
        <v>12726.9</v>
      </c>
      <c r="E1855" s="9">
        <f>E1856</f>
        <v>12726.9</v>
      </c>
      <c r="F1855" s="9">
        <f t="shared" si="1005"/>
        <v>9726.9</v>
      </c>
      <c r="G1855" s="9">
        <f t="shared" si="1005"/>
        <v>9726.9</v>
      </c>
      <c r="H1855" s="9">
        <f>H1856</f>
        <v>9726.9</v>
      </c>
      <c r="I1855" s="9">
        <f t="shared" si="1006"/>
        <v>76.427881102232277</v>
      </c>
      <c r="J1855" s="9">
        <f t="shared" si="1007"/>
        <v>100</v>
      </c>
    </row>
    <row r="1856" spans="1:10">
      <c r="A1856" s="8" t="s">
        <v>82</v>
      </c>
      <c r="B1856" s="1" t="s">
        <v>982</v>
      </c>
      <c r="C1856" s="1" t="s">
        <v>83</v>
      </c>
      <c r="D1856" s="9">
        <f>ведомство!G912</f>
        <v>12726.9</v>
      </c>
      <c r="E1856" s="9">
        <f>ведомство!H912</f>
        <v>12726.9</v>
      </c>
      <c r="F1856" s="9">
        <f>ведомство!I912</f>
        <v>9726.9</v>
      </c>
      <c r="G1856" s="9">
        <f>ведомство!J912</f>
        <v>9726.9</v>
      </c>
      <c r="H1856" s="9">
        <f>ведомство!K912</f>
        <v>9726.9</v>
      </c>
      <c r="I1856" s="9">
        <f t="shared" si="1006"/>
        <v>76.427881102232277</v>
      </c>
      <c r="J1856" s="9">
        <f t="shared" si="1007"/>
        <v>100</v>
      </c>
    </row>
    <row r="1857" spans="1:10">
      <c r="A1857" s="4" t="s">
        <v>0</v>
      </c>
      <c r="B1857" s="17" t="s">
        <v>0</v>
      </c>
      <c r="C1857" s="5" t="s">
        <v>0</v>
      </c>
      <c r="D1857" s="7" t="s">
        <v>0</v>
      </c>
      <c r="E1857" s="7" t="s">
        <v>0</v>
      </c>
      <c r="F1857" s="7" t="s">
        <v>0</v>
      </c>
      <c r="G1857" s="7" t="s">
        <v>0</v>
      </c>
      <c r="H1857" s="7" t="s">
        <v>0</v>
      </c>
      <c r="I1857" s="7"/>
      <c r="J1857" s="7"/>
    </row>
    <row r="1858" spans="1:10" ht="38.25">
      <c r="A1858" s="4" t="s">
        <v>1070</v>
      </c>
      <c r="B1858" s="5" t="s">
        <v>1071</v>
      </c>
      <c r="C1858" s="5" t="s">
        <v>0</v>
      </c>
      <c r="D1858" s="7">
        <f>D1859+D1866+D1869</f>
        <v>86643.4</v>
      </c>
      <c r="E1858" s="7">
        <f>E1859+E1866+E1869</f>
        <v>86643.4</v>
      </c>
      <c r="F1858" s="7">
        <f t="shared" ref="F1858:G1858" si="1008">F1859+F1866+F1869</f>
        <v>59587.8</v>
      </c>
      <c r="G1858" s="7">
        <f t="shared" si="1008"/>
        <v>59587.8</v>
      </c>
      <c r="H1858" s="7">
        <f>H1859+H1866+H1869</f>
        <v>55558.924129999999</v>
      </c>
      <c r="I1858" s="7">
        <f t="shared" si="1006"/>
        <v>64.123665657164892</v>
      </c>
      <c r="J1858" s="7">
        <f t="shared" si="1007"/>
        <v>93.238757144918921</v>
      </c>
    </row>
    <row r="1859" spans="1:10" ht="25.5">
      <c r="A1859" s="8" t="s">
        <v>58</v>
      </c>
      <c r="B1859" s="1" t="s">
        <v>1077</v>
      </c>
      <c r="C1859" s="1" t="s">
        <v>0</v>
      </c>
      <c r="D1859" s="9">
        <f>D1860+D1862+D1864</f>
        <v>21141.7</v>
      </c>
      <c r="E1859" s="9">
        <f>E1860+E1862+E1864</f>
        <v>21141.7</v>
      </c>
      <c r="F1859" s="9">
        <f t="shared" ref="F1859:G1859" si="1009">F1860+F1862+F1864</f>
        <v>16151</v>
      </c>
      <c r="G1859" s="9">
        <f t="shared" si="1009"/>
        <v>16151</v>
      </c>
      <c r="H1859" s="9">
        <f>H1860+H1862+H1864</f>
        <v>15594.05833</v>
      </c>
      <c r="I1859" s="9">
        <f t="shared" si="1006"/>
        <v>73.759718139979285</v>
      </c>
      <c r="J1859" s="9">
        <f t="shared" si="1007"/>
        <v>96.55165828741255</v>
      </c>
    </row>
    <row r="1860" spans="1:10" ht="51">
      <c r="A1860" s="8" t="s">
        <v>60</v>
      </c>
      <c r="B1860" s="1" t="s">
        <v>1077</v>
      </c>
      <c r="C1860" s="1" t="s">
        <v>61</v>
      </c>
      <c r="D1860" s="9">
        <f>D1861</f>
        <v>20194.5</v>
      </c>
      <c r="E1860" s="9">
        <f>E1861</f>
        <v>20194.5</v>
      </c>
      <c r="F1860" s="9">
        <f t="shared" ref="F1860:G1860" si="1010">F1861</f>
        <v>15470</v>
      </c>
      <c r="G1860" s="9">
        <f t="shared" si="1010"/>
        <v>15470</v>
      </c>
      <c r="H1860" s="9">
        <f>H1861</f>
        <v>15062.435750000001</v>
      </c>
      <c r="I1860" s="9">
        <f t="shared" si="1006"/>
        <v>74.586821906954867</v>
      </c>
      <c r="J1860" s="9">
        <f t="shared" si="1007"/>
        <v>97.365454104718822</v>
      </c>
    </row>
    <row r="1861" spans="1:10" ht="25.5">
      <c r="A1861" s="8" t="s">
        <v>62</v>
      </c>
      <c r="B1861" s="1" t="s">
        <v>1077</v>
      </c>
      <c r="C1861" s="1" t="s">
        <v>63</v>
      </c>
      <c r="D1861" s="9">
        <f>ведомство!G2858</f>
        <v>20194.5</v>
      </c>
      <c r="E1861" s="9">
        <f>ведомство!H2858</f>
        <v>20194.5</v>
      </c>
      <c r="F1861" s="9">
        <f>ведомство!I2858</f>
        <v>15470</v>
      </c>
      <c r="G1861" s="9">
        <f>ведомство!J2858</f>
        <v>15470</v>
      </c>
      <c r="H1861" s="9">
        <f>ведомство!K2858</f>
        <v>15062.435750000001</v>
      </c>
      <c r="I1861" s="9">
        <f t="shared" si="1006"/>
        <v>74.586821906954867</v>
      </c>
      <c r="J1861" s="9">
        <f t="shared" si="1007"/>
        <v>97.365454104718822</v>
      </c>
    </row>
    <row r="1862" spans="1:10" ht="25.5">
      <c r="A1862" s="8" t="s">
        <v>64</v>
      </c>
      <c r="B1862" s="1" t="s">
        <v>1077</v>
      </c>
      <c r="C1862" s="1" t="s">
        <v>65</v>
      </c>
      <c r="D1862" s="9">
        <f>D1863</f>
        <v>945.2</v>
      </c>
      <c r="E1862" s="9">
        <f>E1863</f>
        <v>945.2</v>
      </c>
      <c r="F1862" s="9">
        <f t="shared" ref="F1862:G1862" si="1011">F1863</f>
        <v>680</v>
      </c>
      <c r="G1862" s="9">
        <f t="shared" si="1011"/>
        <v>680</v>
      </c>
      <c r="H1862" s="9">
        <f>H1863</f>
        <v>531.62257999999997</v>
      </c>
      <c r="I1862" s="9">
        <f t="shared" si="1006"/>
        <v>56.244454083791787</v>
      </c>
      <c r="J1862" s="9">
        <f t="shared" si="1007"/>
        <v>78.179791176470587</v>
      </c>
    </row>
    <row r="1863" spans="1:10" ht="25.5">
      <c r="A1863" s="8" t="s">
        <v>66</v>
      </c>
      <c r="B1863" s="1" t="s">
        <v>1077</v>
      </c>
      <c r="C1863" s="1" t="s">
        <v>67</v>
      </c>
      <c r="D1863" s="9">
        <f>ведомство!G2860</f>
        <v>945.2</v>
      </c>
      <c r="E1863" s="9">
        <f>ведомство!H2860</f>
        <v>945.2</v>
      </c>
      <c r="F1863" s="9">
        <f>ведомство!I2860</f>
        <v>680</v>
      </c>
      <c r="G1863" s="9">
        <f>ведомство!J2860</f>
        <v>680</v>
      </c>
      <c r="H1863" s="9">
        <f>ведомство!K2860</f>
        <v>531.62257999999997</v>
      </c>
      <c r="I1863" s="9">
        <f t="shared" si="1006"/>
        <v>56.244454083791787</v>
      </c>
      <c r="J1863" s="9">
        <f t="shared" si="1007"/>
        <v>78.179791176470587</v>
      </c>
    </row>
    <row r="1864" spans="1:10">
      <c r="A1864" s="8" t="s">
        <v>72</v>
      </c>
      <c r="B1864" s="1" t="s">
        <v>1077</v>
      </c>
      <c r="C1864" s="1" t="s">
        <v>73</v>
      </c>
      <c r="D1864" s="9">
        <f>D1865</f>
        <v>2</v>
      </c>
      <c r="E1864" s="9">
        <f>E1865</f>
        <v>2</v>
      </c>
      <c r="F1864" s="9">
        <f t="shared" ref="F1864:G1864" si="1012">F1865</f>
        <v>1</v>
      </c>
      <c r="G1864" s="9">
        <f t="shared" si="1012"/>
        <v>1</v>
      </c>
      <c r="H1864" s="9">
        <f>H1865</f>
        <v>0</v>
      </c>
      <c r="I1864" s="9">
        <f t="shared" si="1006"/>
        <v>0</v>
      </c>
      <c r="J1864" s="9">
        <v>0</v>
      </c>
    </row>
    <row r="1865" spans="1:10">
      <c r="A1865" s="8" t="s">
        <v>74</v>
      </c>
      <c r="B1865" s="1" t="s">
        <v>1077</v>
      </c>
      <c r="C1865" s="1" t="s">
        <v>75</v>
      </c>
      <c r="D1865" s="9">
        <f>ведомство!G2862</f>
        <v>2</v>
      </c>
      <c r="E1865" s="9">
        <f>ведомство!H2862</f>
        <v>2</v>
      </c>
      <c r="F1865" s="9">
        <f>ведомство!I2862</f>
        <v>1</v>
      </c>
      <c r="G1865" s="9">
        <f>ведомство!J2862</f>
        <v>1</v>
      </c>
      <c r="H1865" s="9">
        <f>ведомство!K2862</f>
        <v>0</v>
      </c>
      <c r="I1865" s="9">
        <f t="shared" si="1006"/>
        <v>0</v>
      </c>
      <c r="J1865" s="9">
        <v>0</v>
      </c>
    </row>
    <row r="1866" spans="1:10" ht="25.5">
      <c r="A1866" s="8" t="s">
        <v>76</v>
      </c>
      <c r="B1866" s="1" t="s">
        <v>1072</v>
      </c>
      <c r="C1866" s="1" t="s">
        <v>0</v>
      </c>
      <c r="D1866" s="9">
        <f>D1867</f>
        <v>40142.699999999997</v>
      </c>
      <c r="E1866" s="9">
        <f>E1867</f>
        <v>42257.7</v>
      </c>
      <c r="F1866" s="9">
        <f t="shared" ref="F1866:G1867" si="1013">F1867</f>
        <v>31231.8</v>
      </c>
      <c r="G1866" s="9">
        <f t="shared" si="1013"/>
        <v>31231.8</v>
      </c>
      <c r="H1866" s="9">
        <f>H1867</f>
        <v>31231.8</v>
      </c>
      <c r="I1866" s="9">
        <f t="shared" si="1006"/>
        <v>73.90795050369519</v>
      </c>
      <c r="J1866" s="9">
        <f t="shared" si="1007"/>
        <v>100</v>
      </c>
    </row>
    <row r="1867" spans="1:10" ht="25.5">
      <c r="A1867" s="8" t="s">
        <v>80</v>
      </c>
      <c r="B1867" s="1" t="s">
        <v>1072</v>
      </c>
      <c r="C1867" s="1" t="s">
        <v>81</v>
      </c>
      <c r="D1867" s="9">
        <f>D1868</f>
        <v>40142.699999999997</v>
      </c>
      <c r="E1867" s="9">
        <f>E1868</f>
        <v>42257.7</v>
      </c>
      <c r="F1867" s="9">
        <f t="shared" si="1013"/>
        <v>31231.8</v>
      </c>
      <c r="G1867" s="9">
        <f t="shared" si="1013"/>
        <v>31231.8</v>
      </c>
      <c r="H1867" s="9">
        <f>H1868</f>
        <v>31231.8</v>
      </c>
      <c r="I1867" s="9">
        <f t="shared" si="1006"/>
        <v>73.90795050369519</v>
      </c>
      <c r="J1867" s="9">
        <f t="shared" si="1007"/>
        <v>100</v>
      </c>
    </row>
    <row r="1868" spans="1:10">
      <c r="A1868" s="8" t="s">
        <v>82</v>
      </c>
      <c r="B1868" s="1" t="s">
        <v>1072</v>
      </c>
      <c r="C1868" s="1" t="s">
        <v>83</v>
      </c>
      <c r="D1868" s="9">
        <f>ведомство!G2838</f>
        <v>40142.699999999997</v>
      </c>
      <c r="E1868" s="9">
        <f>ведомство!H2838</f>
        <v>42257.7</v>
      </c>
      <c r="F1868" s="9">
        <f>ведомство!I2838</f>
        <v>31231.8</v>
      </c>
      <c r="G1868" s="9">
        <f>ведомство!J2838</f>
        <v>31231.8</v>
      </c>
      <c r="H1868" s="9">
        <f>ведомство!K2838</f>
        <v>31231.8</v>
      </c>
      <c r="I1868" s="9">
        <f t="shared" si="1006"/>
        <v>73.90795050369519</v>
      </c>
      <c r="J1868" s="9">
        <f t="shared" si="1007"/>
        <v>100</v>
      </c>
    </row>
    <row r="1869" spans="1:10">
      <c r="A1869" s="8" t="s">
        <v>1074</v>
      </c>
      <c r="B1869" s="1" t="s">
        <v>1078</v>
      </c>
      <c r="C1869" s="1" t="s">
        <v>0</v>
      </c>
      <c r="D1869" s="9">
        <f>D1870</f>
        <v>25359</v>
      </c>
      <c r="E1869" s="9">
        <f>E1870</f>
        <v>23244</v>
      </c>
      <c r="F1869" s="9">
        <f t="shared" ref="F1869:G1870" si="1014">F1870</f>
        <v>12205</v>
      </c>
      <c r="G1869" s="9">
        <f t="shared" si="1014"/>
        <v>12205</v>
      </c>
      <c r="H1869" s="9">
        <f>H1870</f>
        <v>8733.0658000000003</v>
      </c>
      <c r="I1869" s="9">
        <f t="shared" si="1006"/>
        <v>37.57126914472552</v>
      </c>
      <c r="J1869" s="9">
        <f t="shared" si="1007"/>
        <v>71.553181482998767</v>
      </c>
    </row>
    <row r="1870" spans="1:10" ht="25.5">
      <c r="A1870" s="8" t="s">
        <v>64</v>
      </c>
      <c r="B1870" s="1" t="s">
        <v>1078</v>
      </c>
      <c r="C1870" s="1" t="s">
        <v>65</v>
      </c>
      <c r="D1870" s="9">
        <f>D1871</f>
        <v>25359</v>
      </c>
      <c r="E1870" s="9">
        <f>E1871</f>
        <v>23244</v>
      </c>
      <c r="F1870" s="9">
        <f t="shared" si="1014"/>
        <v>12205</v>
      </c>
      <c r="G1870" s="9">
        <f t="shared" si="1014"/>
        <v>12205</v>
      </c>
      <c r="H1870" s="9">
        <f>H1871</f>
        <v>8733.0658000000003</v>
      </c>
      <c r="I1870" s="9">
        <f t="shared" si="1006"/>
        <v>37.57126914472552</v>
      </c>
      <c r="J1870" s="9">
        <f t="shared" si="1007"/>
        <v>71.553181482998767</v>
      </c>
    </row>
    <row r="1871" spans="1:10" ht="25.5">
      <c r="A1871" s="8" t="s">
        <v>66</v>
      </c>
      <c r="B1871" s="1" t="s">
        <v>1078</v>
      </c>
      <c r="C1871" s="1" t="s">
        <v>67</v>
      </c>
      <c r="D1871" s="9">
        <f>ведомство!G2865</f>
        <v>25359</v>
      </c>
      <c r="E1871" s="9">
        <f>ведомство!H2865</f>
        <v>23244</v>
      </c>
      <c r="F1871" s="9">
        <f>ведомство!I2865</f>
        <v>12205</v>
      </c>
      <c r="G1871" s="9">
        <f>ведомство!J2865</f>
        <v>12205</v>
      </c>
      <c r="H1871" s="9">
        <f>ведомство!K2865</f>
        <v>8733.0658000000003</v>
      </c>
      <c r="I1871" s="9">
        <f t="shared" si="1006"/>
        <v>37.57126914472552</v>
      </c>
      <c r="J1871" s="9">
        <f t="shared" si="1007"/>
        <v>71.553181482998767</v>
      </c>
    </row>
    <row r="1872" spans="1:10">
      <c r="A1872" s="4" t="s">
        <v>0</v>
      </c>
      <c r="B1872" s="17" t="s">
        <v>0</v>
      </c>
      <c r="C1872" s="5" t="s">
        <v>0</v>
      </c>
      <c r="D1872" s="7" t="s">
        <v>0</v>
      </c>
      <c r="E1872" s="7" t="s">
        <v>0</v>
      </c>
      <c r="F1872" s="7" t="s">
        <v>0</v>
      </c>
      <c r="G1872" s="7" t="s">
        <v>0</v>
      </c>
      <c r="H1872" s="7" t="s">
        <v>0</v>
      </c>
      <c r="I1872" s="7"/>
      <c r="J1872" s="7"/>
    </row>
    <row r="1873" spans="1:10" ht="25.5">
      <c r="A1873" s="34" t="s">
        <v>736</v>
      </c>
      <c r="B1873" s="5" t="s">
        <v>737</v>
      </c>
      <c r="C1873" s="5" t="s">
        <v>0</v>
      </c>
      <c r="D1873" s="7">
        <f>D1874+D1883+D1892+D1897+D1907</f>
        <v>846136.1</v>
      </c>
      <c r="E1873" s="7">
        <f>E1874+E1883+E1892+E1897+E1907</f>
        <v>838537.89237999998</v>
      </c>
      <c r="F1873" s="7">
        <f t="shared" ref="F1873:G1873" si="1015">F1874+F1883+F1892+F1897+F1907</f>
        <v>612231.15391000011</v>
      </c>
      <c r="G1873" s="7">
        <f t="shared" si="1015"/>
        <v>612206.15391000011</v>
      </c>
      <c r="H1873" s="7">
        <f>H1874+H1883+H1892+H1897+H1907</f>
        <v>586807.56337999995</v>
      </c>
      <c r="I1873" s="7">
        <f t="shared" si="1006"/>
        <v>69.979850488864557</v>
      </c>
      <c r="J1873" s="7">
        <f t="shared" si="1007"/>
        <v>95.847386993028209</v>
      </c>
    </row>
    <row r="1874" spans="1:10" ht="76.5">
      <c r="A1874" s="8" t="s">
        <v>1061</v>
      </c>
      <c r="B1874" s="1" t="s">
        <v>1062</v>
      </c>
      <c r="C1874" s="1" t="s">
        <v>0</v>
      </c>
      <c r="D1874" s="9">
        <f>D1875+D1877+D1881</f>
        <v>73927.599999999991</v>
      </c>
      <c r="E1874" s="9">
        <f>E1875+E1877+E1881+E1879</f>
        <v>73927.599999999991</v>
      </c>
      <c r="F1874" s="9">
        <f t="shared" ref="F1874:G1874" si="1016">F1875+F1877+F1881+F1879</f>
        <v>56820.754460000011</v>
      </c>
      <c r="G1874" s="9">
        <f t="shared" si="1016"/>
        <v>56820.754460000011</v>
      </c>
      <c r="H1874" s="9">
        <f>H1875+H1877+H1881+H1879</f>
        <v>56820.754460000011</v>
      </c>
      <c r="I1874" s="9">
        <f t="shared" si="1006"/>
        <v>76.86000148794227</v>
      </c>
      <c r="J1874" s="9">
        <f t="shared" si="1007"/>
        <v>100</v>
      </c>
    </row>
    <row r="1875" spans="1:10" ht="51">
      <c r="A1875" s="8" t="s">
        <v>60</v>
      </c>
      <c r="B1875" s="1" t="s">
        <v>1062</v>
      </c>
      <c r="C1875" s="1" t="s">
        <v>61</v>
      </c>
      <c r="D1875" s="9">
        <f>D1876</f>
        <v>58765.9</v>
      </c>
      <c r="E1875" s="9">
        <f>E1876</f>
        <v>59433.468399999998</v>
      </c>
      <c r="F1875" s="9">
        <f t="shared" ref="F1875:G1875" si="1017">F1876</f>
        <v>47290.676300000006</v>
      </c>
      <c r="G1875" s="9">
        <f t="shared" si="1017"/>
        <v>47290.676300000006</v>
      </c>
      <c r="H1875" s="9">
        <f>H1876</f>
        <v>47290.676300000006</v>
      </c>
      <c r="I1875" s="9">
        <f t="shared" si="1006"/>
        <v>79.56910066517338</v>
      </c>
      <c r="J1875" s="9">
        <f t="shared" si="1007"/>
        <v>100</v>
      </c>
    </row>
    <row r="1876" spans="1:10" ht="25.5">
      <c r="A1876" s="8" t="s">
        <v>62</v>
      </c>
      <c r="B1876" s="1" t="s">
        <v>1062</v>
      </c>
      <c r="C1876" s="1" t="s">
        <v>63</v>
      </c>
      <c r="D1876" s="9">
        <f>ведомство!G2806</f>
        <v>58765.9</v>
      </c>
      <c r="E1876" s="9">
        <f>ведомство!H2806</f>
        <v>59433.468399999998</v>
      </c>
      <c r="F1876" s="9">
        <f>ведомство!I2806</f>
        <v>47290.676300000006</v>
      </c>
      <c r="G1876" s="9">
        <f>ведомство!J2806</f>
        <v>47290.676300000006</v>
      </c>
      <c r="H1876" s="9">
        <f>ведомство!K2806</f>
        <v>47290.676300000006</v>
      </c>
      <c r="I1876" s="9">
        <f t="shared" si="1006"/>
        <v>79.56910066517338</v>
      </c>
      <c r="J1876" s="9">
        <f t="shared" si="1007"/>
        <v>100</v>
      </c>
    </row>
    <row r="1877" spans="1:10" ht="25.5">
      <c r="A1877" s="8" t="s">
        <v>64</v>
      </c>
      <c r="B1877" s="1" t="s">
        <v>1062</v>
      </c>
      <c r="C1877" s="1" t="s">
        <v>65</v>
      </c>
      <c r="D1877" s="9">
        <f>D1880</f>
        <v>14523</v>
      </c>
      <c r="E1877" s="9">
        <f>E1880</f>
        <v>13513.510829999999</v>
      </c>
      <c r="F1877" s="9">
        <f t="shared" ref="F1877:G1877" si="1018">F1880</f>
        <v>9166.9282700000003</v>
      </c>
      <c r="G1877" s="9">
        <f t="shared" si="1018"/>
        <v>9166.9282700000003</v>
      </c>
      <c r="H1877" s="9">
        <f>H1880</f>
        <v>9166.9282700000003</v>
      </c>
      <c r="I1877" s="9">
        <f t="shared" si="1006"/>
        <v>67.835282668730429</v>
      </c>
      <c r="J1877" s="9">
        <f t="shared" si="1007"/>
        <v>100</v>
      </c>
    </row>
    <row r="1878" spans="1:10" s="92" customFormat="1">
      <c r="A1878" s="8" t="s">
        <v>68</v>
      </c>
      <c r="B1878" s="1" t="s">
        <v>1062</v>
      </c>
      <c r="C1878" s="1">
        <v>300</v>
      </c>
      <c r="D1878" s="9">
        <v>0</v>
      </c>
      <c r="E1878" s="9">
        <f>E1879</f>
        <v>341.92077</v>
      </c>
      <c r="F1878" s="9">
        <f t="shared" ref="F1878:G1878" si="1019">F1879</f>
        <v>0</v>
      </c>
      <c r="G1878" s="9">
        <f t="shared" si="1019"/>
        <v>0</v>
      </c>
      <c r="H1878" s="9">
        <f>H1879</f>
        <v>0</v>
      </c>
      <c r="I1878" s="9">
        <f t="shared" ref="I1878:I1879" si="1020">H1878/E1878*100</f>
        <v>0</v>
      </c>
      <c r="J1878" s="9">
        <v>0</v>
      </c>
    </row>
    <row r="1879" spans="1:10" s="92" customFormat="1" ht="25.5">
      <c r="A1879" s="8" t="s">
        <v>151</v>
      </c>
      <c r="B1879" s="1" t="s">
        <v>1062</v>
      </c>
      <c r="C1879" s="1">
        <v>320</v>
      </c>
      <c r="D1879" s="9">
        <v>0</v>
      </c>
      <c r="E1879" s="9">
        <f>ведомство!H2810</f>
        <v>341.92077</v>
      </c>
      <c r="F1879" s="9">
        <f>ведомство!I2810</f>
        <v>0</v>
      </c>
      <c r="G1879" s="9">
        <f>ведомство!J2810</f>
        <v>0</v>
      </c>
      <c r="H1879" s="9">
        <f>ведомство!K2810</f>
        <v>0</v>
      </c>
      <c r="I1879" s="9">
        <f t="shared" si="1020"/>
        <v>0</v>
      </c>
      <c r="J1879" s="9">
        <v>0</v>
      </c>
    </row>
    <row r="1880" spans="1:10" ht="25.5">
      <c r="A1880" s="8" t="s">
        <v>66</v>
      </c>
      <c r="B1880" s="1" t="s">
        <v>1062</v>
      </c>
      <c r="C1880" s="1" t="s">
        <v>67</v>
      </c>
      <c r="D1880" s="9">
        <f>ведомство!G2808</f>
        <v>14523</v>
      </c>
      <c r="E1880" s="9">
        <f>ведомство!H2808</f>
        <v>13513.510829999999</v>
      </c>
      <c r="F1880" s="9">
        <f>ведомство!I2808</f>
        <v>9166.9282700000003</v>
      </c>
      <c r="G1880" s="9">
        <f>ведомство!J2808</f>
        <v>9166.9282700000003</v>
      </c>
      <c r="H1880" s="9">
        <f>ведомство!K2808</f>
        <v>9166.9282700000003</v>
      </c>
      <c r="I1880" s="9">
        <f t="shared" si="1006"/>
        <v>67.835282668730429</v>
      </c>
      <c r="J1880" s="9">
        <f t="shared" si="1007"/>
        <v>100</v>
      </c>
    </row>
    <row r="1881" spans="1:10">
      <c r="A1881" s="8" t="s">
        <v>72</v>
      </c>
      <c r="B1881" s="1" t="s">
        <v>1062</v>
      </c>
      <c r="C1881" s="1" t="s">
        <v>73</v>
      </c>
      <c r="D1881" s="9">
        <f>D1882</f>
        <v>638.70000000000005</v>
      </c>
      <c r="E1881" s="9">
        <f>E1882</f>
        <v>638.70000000000005</v>
      </c>
      <c r="F1881" s="9">
        <f t="shared" ref="F1881:G1881" si="1021">F1882</f>
        <v>363.14988999999997</v>
      </c>
      <c r="G1881" s="9">
        <f t="shared" si="1021"/>
        <v>363.14988999999997</v>
      </c>
      <c r="H1881" s="9">
        <f>H1882</f>
        <v>363.14988999999997</v>
      </c>
      <c r="I1881" s="9">
        <f t="shared" si="1006"/>
        <v>56.857662439329879</v>
      </c>
      <c r="J1881" s="9">
        <f t="shared" si="1007"/>
        <v>100</v>
      </c>
    </row>
    <row r="1882" spans="1:10">
      <c r="A1882" s="8" t="s">
        <v>74</v>
      </c>
      <c r="B1882" s="1" t="s">
        <v>1062</v>
      </c>
      <c r="C1882" s="1" t="s">
        <v>75</v>
      </c>
      <c r="D1882" s="9">
        <f>ведомство!G2812</f>
        <v>638.70000000000005</v>
      </c>
      <c r="E1882" s="9">
        <f>ведомство!H2812</f>
        <v>638.70000000000005</v>
      </c>
      <c r="F1882" s="9">
        <f>ведомство!I2812</f>
        <v>363.14988999999997</v>
      </c>
      <c r="G1882" s="9">
        <f>ведомство!J2812</f>
        <v>363.14988999999997</v>
      </c>
      <c r="H1882" s="9">
        <f>ведомство!K2812</f>
        <v>363.14988999999997</v>
      </c>
      <c r="I1882" s="9">
        <f t="shared" si="1006"/>
        <v>56.857662439329879</v>
      </c>
      <c r="J1882" s="9">
        <f t="shared" si="1007"/>
        <v>100</v>
      </c>
    </row>
    <row r="1883" spans="1:10" ht="25.5">
      <c r="A1883" s="8" t="s">
        <v>58</v>
      </c>
      <c r="B1883" s="1" t="s">
        <v>738</v>
      </c>
      <c r="C1883" s="1" t="s">
        <v>0</v>
      </c>
      <c r="D1883" s="9">
        <f>D1884+D1886+D1890</f>
        <v>414169.59999999998</v>
      </c>
      <c r="E1883" s="9">
        <f>E1884+E1886+E1890+E1888</f>
        <v>439078.27290000004</v>
      </c>
      <c r="F1883" s="9">
        <f t="shared" ref="F1883:G1883" si="1022">F1884+F1886+F1890+F1888</f>
        <v>332846.50315</v>
      </c>
      <c r="G1883" s="9">
        <f t="shared" si="1022"/>
        <v>332846.50315</v>
      </c>
      <c r="H1883" s="9">
        <f>H1884+H1886+H1890+H1888</f>
        <v>316878.89246999996</v>
      </c>
      <c r="I1883" s="9">
        <f t="shared" si="1006"/>
        <v>72.169112440270766</v>
      </c>
      <c r="J1883" s="9">
        <f t="shared" si="1007"/>
        <v>95.202710399873396</v>
      </c>
    </row>
    <row r="1884" spans="1:10" ht="51">
      <c r="A1884" s="8" t="s">
        <v>60</v>
      </c>
      <c r="B1884" s="1" t="s">
        <v>738</v>
      </c>
      <c r="C1884" s="1" t="s">
        <v>61</v>
      </c>
      <c r="D1884" s="9">
        <f>D1885</f>
        <v>327429</v>
      </c>
      <c r="E1884" s="9">
        <f>E1885</f>
        <v>352276.98192000005</v>
      </c>
      <c r="F1884" s="9">
        <f t="shared" ref="F1884:G1884" si="1023">F1885</f>
        <v>262630.81200000003</v>
      </c>
      <c r="G1884" s="9">
        <f t="shared" si="1023"/>
        <v>262630.81200000003</v>
      </c>
      <c r="H1884" s="9">
        <f>H1885</f>
        <v>255147.11205</v>
      </c>
      <c r="I1884" s="9">
        <f t="shared" si="1006"/>
        <v>72.42798285013761</v>
      </c>
      <c r="J1884" s="9">
        <f t="shared" si="1007"/>
        <v>97.150486687753897</v>
      </c>
    </row>
    <row r="1885" spans="1:10" ht="25.5">
      <c r="A1885" s="8" t="s">
        <v>62</v>
      </c>
      <c r="B1885" s="1" t="s">
        <v>738</v>
      </c>
      <c r="C1885" s="1" t="s">
        <v>63</v>
      </c>
      <c r="D1885" s="9">
        <f>ведомство!G929+ведомство!G2464+ведомство!G2549+ведомство!G2874+ведомство!G1795</f>
        <v>327429</v>
      </c>
      <c r="E1885" s="9">
        <f>ведомство!H929+ведомство!H2464+ведомство!H2549+ведомство!H2874</f>
        <v>352276.98192000005</v>
      </c>
      <c r="F1885" s="9">
        <f>ведомство!I929+ведомство!I2464+ведомство!I2549+ведомство!I2874</f>
        <v>262630.81200000003</v>
      </c>
      <c r="G1885" s="9">
        <f>ведомство!J929+ведомство!J2464+ведомство!J2549+ведомство!J2874</f>
        <v>262630.81200000003</v>
      </c>
      <c r="H1885" s="9">
        <f>ведомство!K929+ведомство!K2464+ведомство!K2549+ведомство!K2874</f>
        <v>255147.11205</v>
      </c>
      <c r="I1885" s="9">
        <f t="shared" si="1006"/>
        <v>72.42798285013761</v>
      </c>
      <c r="J1885" s="9">
        <f t="shared" si="1007"/>
        <v>97.150486687753897</v>
      </c>
    </row>
    <row r="1886" spans="1:10" ht="25.5">
      <c r="A1886" s="8" t="s">
        <v>64</v>
      </c>
      <c r="B1886" s="1" t="s">
        <v>738</v>
      </c>
      <c r="C1886" s="1" t="s">
        <v>65</v>
      </c>
      <c r="D1886" s="9">
        <f>D1887</f>
        <v>84947.5</v>
      </c>
      <c r="E1886" s="9">
        <f>E1887</f>
        <v>84978.190979999999</v>
      </c>
      <c r="F1886" s="9">
        <f t="shared" ref="F1886:G1886" si="1024">F1887</f>
        <v>68803.691149999999</v>
      </c>
      <c r="G1886" s="9">
        <f t="shared" si="1024"/>
        <v>68803.691149999999</v>
      </c>
      <c r="H1886" s="9">
        <f>H1887</f>
        <v>60793.117490000004</v>
      </c>
      <c r="I1886" s="9">
        <f t="shared" si="1006"/>
        <v>71.53967010701362</v>
      </c>
      <c r="J1886" s="9">
        <f t="shared" si="1007"/>
        <v>88.357348964700137</v>
      </c>
    </row>
    <row r="1887" spans="1:10" ht="25.5">
      <c r="A1887" s="8" t="s">
        <v>66</v>
      </c>
      <c r="B1887" s="1" t="s">
        <v>738</v>
      </c>
      <c r="C1887" s="1" t="s">
        <v>67</v>
      </c>
      <c r="D1887" s="9">
        <f>ведомство!G2876+ведомство!G2551+ведомство!G2466+ведомство!G931+ведомство!G1797</f>
        <v>84947.5</v>
      </c>
      <c r="E1887" s="9">
        <f>ведомство!H2876+ведомство!H2551+ведомство!H2466+ведомство!H931</f>
        <v>84978.190979999999</v>
      </c>
      <c r="F1887" s="9">
        <f>ведомство!I2876+ведомство!I2551+ведомство!I2466+ведомство!I931</f>
        <v>68803.691149999999</v>
      </c>
      <c r="G1887" s="9">
        <f>ведомство!J2876+ведомство!J2551+ведомство!J2466+ведомство!J931</f>
        <v>68803.691149999999</v>
      </c>
      <c r="H1887" s="9">
        <f>ведомство!K2876+ведомство!K2551+ведомство!K2466+ведомство!K931</f>
        <v>60793.117490000004</v>
      </c>
      <c r="I1887" s="9">
        <f t="shared" si="1006"/>
        <v>71.53967010701362</v>
      </c>
      <c r="J1887" s="9">
        <f t="shared" si="1007"/>
        <v>88.357348964700137</v>
      </c>
    </row>
    <row r="1888" spans="1:10" s="92" customFormat="1">
      <c r="A1888" s="8" t="s">
        <v>68</v>
      </c>
      <c r="B1888" s="1" t="s">
        <v>738</v>
      </c>
      <c r="C1888" s="1">
        <v>300</v>
      </c>
      <c r="D1888" s="9"/>
      <c r="E1888" s="9">
        <f>E1889</f>
        <v>30</v>
      </c>
      <c r="F1888" s="9">
        <f t="shared" ref="F1888:G1888" si="1025">F1889</f>
        <v>30</v>
      </c>
      <c r="G1888" s="9">
        <f t="shared" si="1025"/>
        <v>30</v>
      </c>
      <c r="H1888" s="9">
        <f>H1889</f>
        <v>30</v>
      </c>
      <c r="I1888" s="9">
        <f t="shared" ref="I1888:I1889" si="1026">H1888/E1888*100</f>
        <v>100</v>
      </c>
      <c r="J1888" s="9">
        <f t="shared" ref="J1888:J1889" si="1027">H1888/F1888*100</f>
        <v>100</v>
      </c>
    </row>
    <row r="1889" spans="1:10" s="92" customFormat="1">
      <c r="A1889" s="8" t="s">
        <v>70</v>
      </c>
      <c r="B1889" s="1" t="s">
        <v>738</v>
      </c>
      <c r="C1889" s="1">
        <v>360</v>
      </c>
      <c r="D1889" s="9"/>
      <c r="E1889" s="9">
        <f>ведомство!H2468</f>
        <v>30</v>
      </c>
      <c r="F1889" s="9">
        <f>ведомство!I2468</f>
        <v>30</v>
      </c>
      <c r="G1889" s="9">
        <f>ведомство!J2468</f>
        <v>30</v>
      </c>
      <c r="H1889" s="9">
        <f>ведомство!K2468</f>
        <v>30</v>
      </c>
      <c r="I1889" s="9">
        <f t="shared" si="1026"/>
        <v>100</v>
      </c>
      <c r="J1889" s="9">
        <f t="shared" si="1027"/>
        <v>100</v>
      </c>
    </row>
    <row r="1890" spans="1:10">
      <c r="A1890" s="8" t="s">
        <v>72</v>
      </c>
      <c r="B1890" s="1" t="s">
        <v>738</v>
      </c>
      <c r="C1890" s="1" t="s">
        <v>73</v>
      </c>
      <c r="D1890" s="9">
        <f>D1891</f>
        <v>1793.1</v>
      </c>
      <c r="E1890" s="9">
        <f>E1891</f>
        <v>1793.1</v>
      </c>
      <c r="F1890" s="9">
        <f t="shared" ref="F1890:G1890" si="1028">F1891</f>
        <v>1382</v>
      </c>
      <c r="G1890" s="9">
        <f t="shared" si="1028"/>
        <v>1382</v>
      </c>
      <c r="H1890" s="9">
        <f>H1891</f>
        <v>908.66292999999996</v>
      </c>
      <c r="I1890" s="9">
        <f t="shared" si="1006"/>
        <v>50.67553008755786</v>
      </c>
      <c r="J1890" s="9">
        <f t="shared" si="1007"/>
        <v>65.749850217076698</v>
      </c>
    </row>
    <row r="1891" spans="1:10">
      <c r="A1891" s="8" t="s">
        <v>74</v>
      </c>
      <c r="B1891" s="1" t="s">
        <v>738</v>
      </c>
      <c r="C1891" s="1" t="s">
        <v>75</v>
      </c>
      <c r="D1891" s="9">
        <f>ведомство!G2470+ведомство!G2553+ведомство!G2878</f>
        <v>1793.1</v>
      </c>
      <c r="E1891" s="9">
        <f>ведомство!H2470+ведомство!H2553+ведомство!H2878</f>
        <v>1793.1</v>
      </c>
      <c r="F1891" s="9">
        <f>ведомство!I2470+ведомство!I2553+ведомство!I2878</f>
        <v>1382</v>
      </c>
      <c r="G1891" s="9">
        <f>ведомство!J2470+ведомство!J2553+ведомство!J2878</f>
        <v>1382</v>
      </c>
      <c r="H1891" s="9">
        <f>ведомство!K2470+ведомство!K2553+ведомство!K2878</f>
        <v>908.66292999999996</v>
      </c>
      <c r="I1891" s="9">
        <f t="shared" si="1006"/>
        <v>50.67553008755786</v>
      </c>
      <c r="J1891" s="9">
        <f t="shared" si="1007"/>
        <v>65.749850217076698</v>
      </c>
    </row>
    <row r="1892" spans="1:10">
      <c r="A1892" s="8" t="s">
        <v>609</v>
      </c>
      <c r="B1892" s="1" t="s">
        <v>947</v>
      </c>
      <c r="C1892" s="1" t="s">
        <v>0</v>
      </c>
      <c r="D1892" s="9">
        <f>D1893+D1895</f>
        <v>8147.9</v>
      </c>
      <c r="E1892" s="9">
        <f t="shared" ref="E1892" si="1029">E1893+E1895</f>
        <v>8135.1643700000004</v>
      </c>
      <c r="F1892" s="9">
        <f t="shared" ref="F1892:H1892" si="1030">F1893+F1895</f>
        <v>4025</v>
      </c>
      <c r="G1892" s="9">
        <f t="shared" si="1030"/>
        <v>4000</v>
      </c>
      <c r="H1892" s="9">
        <f t="shared" si="1030"/>
        <v>3716.672</v>
      </c>
      <c r="I1892" s="9">
        <f t="shared" si="1006"/>
        <v>45.686501599229516</v>
      </c>
      <c r="J1892" s="9">
        <f t="shared" si="1007"/>
        <v>92.339677018633537</v>
      </c>
    </row>
    <row r="1893" spans="1:10" ht="25.5">
      <c r="A1893" s="8" t="s">
        <v>64</v>
      </c>
      <c r="B1893" s="1" t="s">
        <v>947</v>
      </c>
      <c r="C1893" s="1" t="s">
        <v>65</v>
      </c>
      <c r="D1893" s="9">
        <f>D1894</f>
        <v>8122.9</v>
      </c>
      <c r="E1893" s="9">
        <f>E1894</f>
        <v>8110.1643700000004</v>
      </c>
      <c r="F1893" s="9">
        <f t="shared" ref="F1893:G1893" si="1031">F1894</f>
        <v>4000</v>
      </c>
      <c r="G1893" s="9">
        <f t="shared" si="1031"/>
        <v>4000</v>
      </c>
      <c r="H1893" s="9">
        <f>H1894</f>
        <v>3716.672</v>
      </c>
      <c r="I1893" s="9">
        <f t="shared" si="1006"/>
        <v>45.827332596959437</v>
      </c>
      <c r="J1893" s="9">
        <f t="shared" si="1007"/>
        <v>92.916799999999995</v>
      </c>
    </row>
    <row r="1894" spans="1:10" ht="25.5">
      <c r="A1894" s="8" t="s">
        <v>66</v>
      </c>
      <c r="B1894" s="1" t="s">
        <v>947</v>
      </c>
      <c r="C1894" s="1" t="s">
        <v>67</v>
      </c>
      <c r="D1894" s="9">
        <f>ведомство!G2473</f>
        <v>8122.9</v>
      </c>
      <c r="E1894" s="9">
        <f>ведомство!H2473</f>
        <v>8110.1643700000004</v>
      </c>
      <c r="F1894" s="9">
        <f>ведомство!I2473</f>
        <v>4000</v>
      </c>
      <c r="G1894" s="9">
        <f>ведомство!J2473</f>
        <v>4000</v>
      </c>
      <c r="H1894" s="9">
        <f>ведомство!K2473</f>
        <v>3716.672</v>
      </c>
      <c r="I1894" s="9">
        <f t="shared" si="1006"/>
        <v>45.827332596959437</v>
      </c>
      <c r="J1894" s="9">
        <f t="shared" si="1007"/>
        <v>92.916799999999995</v>
      </c>
    </row>
    <row r="1895" spans="1:10" s="88" customFormat="1">
      <c r="A1895" s="59" t="s">
        <v>72</v>
      </c>
      <c r="B1895" s="1" t="s">
        <v>947</v>
      </c>
      <c r="C1895" s="1">
        <v>800</v>
      </c>
      <c r="D1895" s="9">
        <f>D1896</f>
        <v>25</v>
      </c>
      <c r="E1895" s="9">
        <f t="shared" ref="E1895:H1895" si="1032">E1896</f>
        <v>25</v>
      </c>
      <c r="F1895" s="9">
        <f t="shared" si="1032"/>
        <v>25</v>
      </c>
      <c r="G1895" s="9">
        <f t="shared" si="1032"/>
        <v>0</v>
      </c>
      <c r="H1895" s="9">
        <f t="shared" si="1032"/>
        <v>0</v>
      </c>
      <c r="I1895" s="9">
        <f t="shared" ref="I1895:I1896" si="1033">H1895/E1895*100</f>
        <v>0</v>
      </c>
      <c r="J1895" s="9">
        <f t="shared" ref="J1895:J1896" si="1034">H1895/F1895*100</f>
        <v>0</v>
      </c>
    </row>
    <row r="1896" spans="1:10" s="88" customFormat="1">
      <c r="A1896" s="62" t="s">
        <v>615</v>
      </c>
      <c r="B1896" s="1" t="s">
        <v>947</v>
      </c>
      <c r="C1896" s="1">
        <v>880</v>
      </c>
      <c r="D1896" s="9">
        <f>ведомство!G2475</f>
        <v>25</v>
      </c>
      <c r="E1896" s="9">
        <f>ведомство!H2475</f>
        <v>25</v>
      </c>
      <c r="F1896" s="9">
        <f>ведомство!I2475</f>
        <v>25</v>
      </c>
      <c r="G1896" s="9">
        <f>ведомство!J2475</f>
        <v>0</v>
      </c>
      <c r="H1896" s="9">
        <f>ведомство!K2475</f>
        <v>0</v>
      </c>
      <c r="I1896" s="9">
        <f t="shared" si="1033"/>
        <v>0</v>
      </c>
      <c r="J1896" s="9">
        <f t="shared" si="1034"/>
        <v>0</v>
      </c>
    </row>
    <row r="1897" spans="1:10" ht="25.5">
      <c r="A1897" s="8" t="s">
        <v>76</v>
      </c>
      <c r="B1897" s="1" t="s">
        <v>739</v>
      </c>
      <c r="C1897" s="1" t="s">
        <v>0</v>
      </c>
      <c r="D1897" s="9">
        <f>D1898+D1900+D1902+D1904</f>
        <v>231135.19999999998</v>
      </c>
      <c r="E1897" s="9">
        <f>E1898+E1900+E1902+E1904</f>
        <v>198773.63986</v>
      </c>
      <c r="F1897" s="9">
        <f t="shared" ref="F1897:G1897" si="1035">F1898+F1900+F1902+F1904</f>
        <v>135622.45705</v>
      </c>
      <c r="G1897" s="9">
        <f t="shared" si="1035"/>
        <v>135622.45705</v>
      </c>
      <c r="H1897" s="9">
        <f>H1898+H1900+H1902+H1904</f>
        <v>128891.89915999999</v>
      </c>
      <c r="I1897" s="9">
        <f t="shared" si="1006"/>
        <v>64.843557350351361</v>
      </c>
      <c r="J1897" s="9">
        <f t="shared" si="1007"/>
        <v>95.037283620721709</v>
      </c>
    </row>
    <row r="1898" spans="1:10" ht="51">
      <c r="A1898" s="8" t="s">
        <v>60</v>
      </c>
      <c r="B1898" s="1" t="s">
        <v>739</v>
      </c>
      <c r="C1898" s="1" t="s">
        <v>61</v>
      </c>
      <c r="D1898" s="9">
        <f>D1899</f>
        <v>110191.1</v>
      </c>
      <c r="E1898" s="9">
        <f>E1899</f>
        <v>110191.07906</v>
      </c>
      <c r="F1898" s="9">
        <f t="shared" ref="F1898:G1898" si="1036">F1899</f>
        <v>81831.399059999996</v>
      </c>
      <c r="G1898" s="9">
        <f t="shared" si="1036"/>
        <v>81831.399059999996</v>
      </c>
      <c r="H1898" s="9">
        <f>H1899</f>
        <v>77857.717529999994</v>
      </c>
      <c r="I1898" s="9">
        <f t="shared" si="1006"/>
        <v>70.657006169805996</v>
      </c>
      <c r="J1898" s="9">
        <f t="shared" si="1007"/>
        <v>95.144062577878643</v>
      </c>
    </row>
    <row r="1899" spans="1:10">
      <c r="A1899" s="8" t="s">
        <v>78</v>
      </c>
      <c r="B1899" s="1" t="s">
        <v>739</v>
      </c>
      <c r="C1899" s="1" t="s">
        <v>79</v>
      </c>
      <c r="D1899" s="9">
        <f>ведомство!G2556</f>
        <v>110191.1</v>
      </c>
      <c r="E1899" s="9">
        <f>ведомство!H2556</f>
        <v>110191.07906</v>
      </c>
      <c r="F1899" s="9">
        <f>ведомство!I2556</f>
        <v>81831.399059999996</v>
      </c>
      <c r="G1899" s="9">
        <f>ведомство!J2556</f>
        <v>81831.399059999996</v>
      </c>
      <c r="H1899" s="9">
        <f>ведомство!K2556</f>
        <v>77857.717529999994</v>
      </c>
      <c r="I1899" s="9">
        <f t="shared" si="1006"/>
        <v>70.657006169805996</v>
      </c>
      <c r="J1899" s="9">
        <f t="shared" si="1007"/>
        <v>95.144062577878643</v>
      </c>
    </row>
    <row r="1900" spans="1:10" ht="25.5">
      <c r="A1900" s="8" t="s">
        <v>64</v>
      </c>
      <c r="B1900" s="1" t="s">
        <v>739</v>
      </c>
      <c r="C1900" s="1" t="s">
        <v>65</v>
      </c>
      <c r="D1900" s="9">
        <f>D1901</f>
        <v>83089.7</v>
      </c>
      <c r="E1900" s="9">
        <f>E1901</f>
        <v>81850.760800000004</v>
      </c>
      <c r="F1900" s="9">
        <f t="shared" ref="F1900:G1900" si="1037">F1901</f>
        <v>50095.123619999998</v>
      </c>
      <c r="G1900" s="9">
        <f t="shared" si="1037"/>
        <v>50095.123619999998</v>
      </c>
      <c r="H1900" s="9">
        <f>H1901</f>
        <v>47665.088280000004</v>
      </c>
      <c r="I1900" s="9">
        <f t="shared" si="1006"/>
        <v>58.234142009343429</v>
      </c>
      <c r="J1900" s="9">
        <f t="shared" si="1007"/>
        <v>95.149157913186926</v>
      </c>
    </row>
    <row r="1901" spans="1:10" ht="25.5">
      <c r="A1901" s="8" t="s">
        <v>66</v>
      </c>
      <c r="B1901" s="1" t="s">
        <v>739</v>
      </c>
      <c r="C1901" s="1" t="s">
        <v>67</v>
      </c>
      <c r="D1901" s="9">
        <f>ведомство!G2558</f>
        <v>83089.7</v>
      </c>
      <c r="E1901" s="9">
        <f>ведомство!H2558</f>
        <v>81850.760800000004</v>
      </c>
      <c r="F1901" s="9">
        <f>ведомство!I2558</f>
        <v>50095.123619999998</v>
      </c>
      <c r="G1901" s="9">
        <f>ведомство!J2558</f>
        <v>50095.123619999998</v>
      </c>
      <c r="H1901" s="9">
        <f>ведомство!K2558</f>
        <v>47665.088280000004</v>
      </c>
      <c r="I1901" s="9">
        <f t="shared" si="1006"/>
        <v>58.234142009343429</v>
      </c>
      <c r="J1901" s="9">
        <f t="shared" si="1007"/>
        <v>95.149157913186926</v>
      </c>
    </row>
    <row r="1902" spans="1:10" ht="25.5">
      <c r="A1902" s="8" t="s">
        <v>80</v>
      </c>
      <c r="B1902" s="1" t="s">
        <v>739</v>
      </c>
      <c r="C1902" s="1" t="s">
        <v>81</v>
      </c>
      <c r="D1902" s="9">
        <f>D1903</f>
        <v>31122.6</v>
      </c>
      <c r="E1902" s="9">
        <f>E1903</f>
        <v>0</v>
      </c>
      <c r="F1902" s="9">
        <f t="shared" ref="F1902:G1902" si="1038">F1903</f>
        <v>0</v>
      </c>
      <c r="G1902" s="9">
        <f t="shared" si="1038"/>
        <v>0</v>
      </c>
      <c r="H1902" s="9">
        <f>H1903</f>
        <v>0</v>
      </c>
      <c r="I1902" s="9">
        <v>0</v>
      </c>
      <c r="J1902" s="9">
        <v>0</v>
      </c>
    </row>
    <row r="1903" spans="1:10">
      <c r="A1903" s="8" t="s">
        <v>271</v>
      </c>
      <c r="B1903" s="1" t="s">
        <v>739</v>
      </c>
      <c r="C1903" s="1" t="s">
        <v>272</v>
      </c>
      <c r="D1903" s="9">
        <f>ведомство!G1800</f>
        <v>31122.6</v>
      </c>
      <c r="E1903" s="9">
        <f>ведомство!H1800</f>
        <v>0</v>
      </c>
      <c r="F1903" s="9">
        <f>ведомство!I1800</f>
        <v>0</v>
      </c>
      <c r="G1903" s="9">
        <f>ведомство!J1800</f>
        <v>0</v>
      </c>
      <c r="H1903" s="9">
        <f>ведомство!K1800</f>
        <v>0</v>
      </c>
      <c r="I1903" s="9">
        <v>0</v>
      </c>
      <c r="J1903" s="9">
        <v>0</v>
      </c>
    </row>
    <row r="1904" spans="1:10">
      <c r="A1904" s="8" t="s">
        <v>72</v>
      </c>
      <c r="B1904" s="1" t="s">
        <v>739</v>
      </c>
      <c r="C1904" s="1" t="s">
        <v>73</v>
      </c>
      <c r="D1904" s="9">
        <f>D1906+D1905</f>
        <v>6731.8</v>
      </c>
      <c r="E1904" s="9">
        <f>E1906+E1905</f>
        <v>6731.8</v>
      </c>
      <c r="F1904" s="9">
        <f t="shared" ref="F1904:G1904" si="1039">F1906+F1905</f>
        <v>3695.9343699999999</v>
      </c>
      <c r="G1904" s="9">
        <f t="shared" si="1039"/>
        <v>3695.9343699999999</v>
      </c>
      <c r="H1904" s="9">
        <f>H1906+H1905</f>
        <v>3369.0933500000001</v>
      </c>
      <c r="I1904" s="9">
        <f t="shared" si="1006"/>
        <v>50.047436792536914</v>
      </c>
      <c r="J1904" s="9">
        <f t="shared" si="1007"/>
        <v>91.156741779481337</v>
      </c>
    </row>
    <row r="1905" spans="1:10" s="42" customFormat="1">
      <c r="A1905" s="25" t="s">
        <v>84</v>
      </c>
      <c r="B1905" s="1" t="s">
        <v>739</v>
      </c>
      <c r="C1905" s="1">
        <v>830</v>
      </c>
      <c r="D1905" s="9">
        <f>ведомство!G2560</f>
        <v>0</v>
      </c>
      <c r="E1905" s="9">
        <f>ведомство!H2560</f>
        <v>30</v>
      </c>
      <c r="F1905" s="9">
        <f>ведомство!I2560</f>
        <v>30</v>
      </c>
      <c r="G1905" s="9">
        <f>ведомство!J2560</f>
        <v>30</v>
      </c>
      <c r="H1905" s="9">
        <f>ведомство!K2560</f>
        <v>30</v>
      </c>
      <c r="I1905" s="9">
        <f t="shared" ref="I1905" si="1040">H1905/E1905*100</f>
        <v>100</v>
      </c>
      <c r="J1905" s="9">
        <f t="shared" ref="J1905" si="1041">H1905/F1905*100</f>
        <v>100</v>
      </c>
    </row>
    <row r="1906" spans="1:10">
      <c r="A1906" s="8" t="s">
        <v>74</v>
      </c>
      <c r="B1906" s="1" t="s">
        <v>739</v>
      </c>
      <c r="C1906" s="1" t="s">
        <v>75</v>
      </c>
      <c r="D1906" s="9">
        <f>ведомство!G2561</f>
        <v>6731.8</v>
      </c>
      <c r="E1906" s="9">
        <f>ведомство!H2561</f>
        <v>6701.8</v>
      </c>
      <c r="F1906" s="9">
        <f>ведомство!I2561</f>
        <v>3665.9343699999999</v>
      </c>
      <c r="G1906" s="9">
        <f>ведомство!J2561</f>
        <v>3665.9343699999999</v>
      </c>
      <c r="H1906" s="9">
        <f>ведомство!K2561</f>
        <v>3339.0933500000001</v>
      </c>
      <c r="I1906" s="9">
        <f t="shared" si="1006"/>
        <v>49.823828672893846</v>
      </c>
      <c r="J1906" s="9">
        <f t="shared" si="1007"/>
        <v>91.08437339536988</v>
      </c>
    </row>
    <row r="1907" spans="1:10">
      <c r="A1907" s="8" t="s">
        <v>1081</v>
      </c>
      <c r="B1907" s="1" t="s">
        <v>1082</v>
      </c>
      <c r="C1907" s="1" t="s">
        <v>0</v>
      </c>
      <c r="D1907" s="9">
        <f>D1908</f>
        <v>118755.8</v>
      </c>
      <c r="E1907" s="9">
        <f>E1908</f>
        <v>118623.21524999999</v>
      </c>
      <c r="F1907" s="9">
        <f t="shared" ref="F1907:G1908" si="1042">F1908</f>
        <v>82916.439249999996</v>
      </c>
      <c r="G1907" s="9">
        <f t="shared" si="1042"/>
        <v>82916.439249999996</v>
      </c>
      <c r="H1907" s="9">
        <f>H1908</f>
        <v>80499.345289999997</v>
      </c>
      <c r="I1907" s="9">
        <f t="shared" si="1006"/>
        <v>67.861375296856153</v>
      </c>
      <c r="J1907" s="9">
        <f t="shared" si="1007"/>
        <v>97.084903811761308</v>
      </c>
    </row>
    <row r="1908" spans="1:10" ht="25.5">
      <c r="A1908" s="8" t="s">
        <v>64</v>
      </c>
      <c r="B1908" s="1" t="s">
        <v>1082</v>
      </c>
      <c r="C1908" s="1" t="s">
        <v>65</v>
      </c>
      <c r="D1908" s="9">
        <f>D1909</f>
        <v>118755.8</v>
      </c>
      <c r="E1908" s="9">
        <f>E1909</f>
        <v>118623.21524999999</v>
      </c>
      <c r="F1908" s="9">
        <f t="shared" si="1042"/>
        <v>82916.439249999996</v>
      </c>
      <c r="G1908" s="9">
        <f t="shared" si="1042"/>
        <v>82916.439249999996</v>
      </c>
      <c r="H1908" s="9">
        <f>H1909</f>
        <v>80499.345289999997</v>
      </c>
      <c r="I1908" s="9">
        <f t="shared" si="1006"/>
        <v>67.861375296856153</v>
      </c>
      <c r="J1908" s="9">
        <f t="shared" si="1007"/>
        <v>97.084903811761308</v>
      </c>
    </row>
    <row r="1909" spans="1:10" ht="25.5">
      <c r="A1909" s="8" t="s">
        <v>66</v>
      </c>
      <c r="B1909" s="1" t="s">
        <v>1082</v>
      </c>
      <c r="C1909" s="1" t="s">
        <v>67</v>
      </c>
      <c r="D1909" s="9">
        <f>ведомство!G2881</f>
        <v>118755.8</v>
      </c>
      <c r="E1909" s="9">
        <f>ведомство!H2881</f>
        <v>118623.21524999999</v>
      </c>
      <c r="F1909" s="9">
        <f>ведомство!I2881</f>
        <v>82916.439249999996</v>
      </c>
      <c r="G1909" s="9">
        <f>ведомство!J2881</f>
        <v>82916.439249999996</v>
      </c>
      <c r="H1909" s="9">
        <f>ведомство!K2881</f>
        <v>80499.345289999997</v>
      </c>
      <c r="I1909" s="9">
        <f t="shared" si="1006"/>
        <v>67.861375296856153</v>
      </c>
      <c r="J1909" s="9">
        <f t="shared" si="1007"/>
        <v>97.084903811761308</v>
      </c>
    </row>
    <row r="1910" spans="1:10">
      <c r="A1910" s="4" t="s">
        <v>0</v>
      </c>
      <c r="B1910" s="17" t="s">
        <v>0</v>
      </c>
      <c r="C1910" s="5" t="s">
        <v>0</v>
      </c>
      <c r="D1910" s="7" t="s">
        <v>0</v>
      </c>
      <c r="E1910" s="7" t="s">
        <v>0</v>
      </c>
      <c r="F1910" s="7" t="s">
        <v>0</v>
      </c>
      <c r="G1910" s="7" t="s">
        <v>0</v>
      </c>
      <c r="H1910" s="7" t="s">
        <v>0</v>
      </c>
      <c r="I1910" s="7"/>
      <c r="J1910" s="7"/>
    </row>
    <row r="1911" spans="1:10" ht="38.25">
      <c r="A1911" s="4" t="s">
        <v>122</v>
      </c>
      <c r="B1911" s="5" t="s">
        <v>123</v>
      </c>
      <c r="C1911" s="5" t="s">
        <v>0</v>
      </c>
      <c r="D1911" s="7">
        <f>D1912+D1915+D1918+D1921+D1924</f>
        <v>132902.14000000001</v>
      </c>
      <c r="E1911" s="7">
        <f>E1912+E1915+E1918+E1921+E1924</f>
        <v>180890.46711</v>
      </c>
      <c r="F1911" s="7">
        <f t="shared" ref="F1911:G1911" si="1043">F1912+F1915+F1918+F1921+F1924</f>
        <v>145999.44569999998</v>
      </c>
      <c r="G1911" s="7">
        <f t="shared" si="1043"/>
        <v>145999.44569999998</v>
      </c>
      <c r="H1911" s="7">
        <f>H1912+H1915+H1918+H1921+H1924</f>
        <v>143222.8107</v>
      </c>
      <c r="I1911" s="7">
        <f t="shared" si="1006"/>
        <v>79.176538702233444</v>
      </c>
      <c r="J1911" s="7">
        <f t="shared" si="1007"/>
        <v>98.098187985106861</v>
      </c>
    </row>
    <row r="1912" spans="1:10" ht="38.25">
      <c r="A1912" s="8" t="s">
        <v>1110</v>
      </c>
      <c r="B1912" s="1" t="s">
        <v>1111</v>
      </c>
      <c r="C1912" s="6"/>
      <c r="D1912" s="22">
        <f>D1913</f>
        <v>0</v>
      </c>
      <c r="E1912" s="22">
        <f>E1913</f>
        <v>47988.4</v>
      </c>
      <c r="F1912" s="22">
        <f t="shared" ref="F1912:G1913" si="1044">F1913</f>
        <v>41760</v>
      </c>
      <c r="G1912" s="22">
        <f t="shared" si="1044"/>
        <v>41760</v>
      </c>
      <c r="H1912" s="22">
        <f>H1913</f>
        <v>41745.665000000001</v>
      </c>
      <c r="I1912" s="22">
        <f t="shared" si="1006"/>
        <v>86.991158279917641</v>
      </c>
      <c r="J1912" s="22">
        <f t="shared" si="1007"/>
        <v>99.965672892720306</v>
      </c>
    </row>
    <row r="1913" spans="1:10">
      <c r="A1913" s="8" t="s">
        <v>26</v>
      </c>
      <c r="B1913" s="1" t="s">
        <v>1111</v>
      </c>
      <c r="C1913" s="6">
        <v>500</v>
      </c>
      <c r="D1913" s="22">
        <f>D1914</f>
        <v>0</v>
      </c>
      <c r="E1913" s="22">
        <f>E1914</f>
        <v>47988.4</v>
      </c>
      <c r="F1913" s="22">
        <f t="shared" si="1044"/>
        <v>41760</v>
      </c>
      <c r="G1913" s="22">
        <f t="shared" si="1044"/>
        <v>41760</v>
      </c>
      <c r="H1913" s="22">
        <f>H1914</f>
        <v>41745.665000000001</v>
      </c>
      <c r="I1913" s="22">
        <f t="shared" si="1006"/>
        <v>86.991158279917641</v>
      </c>
      <c r="J1913" s="22">
        <f t="shared" si="1007"/>
        <v>99.965672892720306</v>
      </c>
    </row>
    <row r="1914" spans="1:10">
      <c r="A1914" s="8" t="s">
        <v>56</v>
      </c>
      <c r="B1914" s="1" t="s">
        <v>1111</v>
      </c>
      <c r="C1914" s="6">
        <v>520</v>
      </c>
      <c r="D1914" s="22">
        <f>ведомство!G147+ведомство!G354+ведомство!G1482</f>
        <v>0</v>
      </c>
      <c r="E1914" s="22">
        <f>ведомство!H147+ведомство!H354+ведомство!H1482</f>
        <v>47988.4</v>
      </c>
      <c r="F1914" s="22">
        <f>ведомство!I147+ведомство!I354+ведомство!I1482</f>
        <v>41760</v>
      </c>
      <c r="G1914" s="22">
        <f>ведомство!J147+ведомство!J354+ведомство!J1482</f>
        <v>41760</v>
      </c>
      <c r="H1914" s="22">
        <f>ведомство!K147+ведомство!K354+ведомство!K1482</f>
        <v>41745.665000000001</v>
      </c>
      <c r="I1914" s="22">
        <f t="shared" si="1006"/>
        <v>86.991158279917641</v>
      </c>
      <c r="J1914" s="22">
        <f t="shared" si="1007"/>
        <v>99.965672892720306</v>
      </c>
    </row>
    <row r="1915" spans="1:10" ht="38.25">
      <c r="A1915" s="8" t="s">
        <v>37</v>
      </c>
      <c r="B1915" s="1" t="s">
        <v>703</v>
      </c>
      <c r="C1915" s="1" t="s">
        <v>0</v>
      </c>
      <c r="D1915" s="9">
        <f>D1916</f>
        <v>4500</v>
      </c>
      <c r="E1915" s="9">
        <f>E1916</f>
        <v>4500</v>
      </c>
      <c r="F1915" s="9">
        <f t="shared" ref="F1915:G1916" si="1045">F1916</f>
        <v>2512.4</v>
      </c>
      <c r="G1915" s="9">
        <f t="shared" si="1045"/>
        <v>2512.4</v>
      </c>
      <c r="H1915" s="9">
        <f>H1916</f>
        <v>2512.4</v>
      </c>
      <c r="I1915" s="9">
        <f t="shared" si="1006"/>
        <v>55.831111111111106</v>
      </c>
      <c r="J1915" s="9">
        <f t="shared" si="1007"/>
        <v>100</v>
      </c>
    </row>
    <row r="1916" spans="1:10" ht="25.5">
      <c r="A1916" s="8" t="s">
        <v>39</v>
      </c>
      <c r="B1916" s="1" t="s">
        <v>703</v>
      </c>
      <c r="C1916" s="1" t="s">
        <v>40</v>
      </c>
      <c r="D1916" s="9">
        <f>D1917</f>
        <v>4500</v>
      </c>
      <c r="E1916" s="9">
        <f>E1917</f>
        <v>4500</v>
      </c>
      <c r="F1916" s="9">
        <f t="shared" si="1045"/>
        <v>2512.4</v>
      </c>
      <c r="G1916" s="9">
        <f t="shared" si="1045"/>
        <v>2512.4</v>
      </c>
      <c r="H1916" s="9">
        <f>H1917</f>
        <v>2512.4</v>
      </c>
      <c r="I1916" s="9">
        <f t="shared" si="1006"/>
        <v>55.831111111111106</v>
      </c>
      <c r="J1916" s="9">
        <f t="shared" si="1007"/>
        <v>100</v>
      </c>
    </row>
    <row r="1917" spans="1:10">
      <c r="A1917" s="8" t="s">
        <v>41</v>
      </c>
      <c r="B1917" s="1" t="s">
        <v>703</v>
      </c>
      <c r="C1917" s="1" t="s">
        <v>42</v>
      </c>
      <c r="D1917" s="9">
        <f>ведомство!G1715</f>
        <v>4500</v>
      </c>
      <c r="E1917" s="9">
        <f>ведомство!H1715</f>
        <v>4500</v>
      </c>
      <c r="F1917" s="9">
        <f>ведомство!I1715</f>
        <v>2512.4</v>
      </c>
      <c r="G1917" s="9">
        <f>ведомство!J1715</f>
        <v>2512.4</v>
      </c>
      <c r="H1917" s="9">
        <f>ведомство!K1715</f>
        <v>2512.4</v>
      </c>
      <c r="I1917" s="9">
        <f t="shared" si="1006"/>
        <v>55.831111111111106</v>
      </c>
      <c r="J1917" s="9">
        <f t="shared" si="1007"/>
        <v>100</v>
      </c>
    </row>
    <row r="1918" spans="1:10" ht="25.5">
      <c r="A1918" s="8" t="s">
        <v>107</v>
      </c>
      <c r="B1918" s="1" t="s">
        <v>124</v>
      </c>
      <c r="C1918" s="1" t="s">
        <v>0</v>
      </c>
      <c r="D1918" s="9">
        <f>D1919</f>
        <v>10048.4</v>
      </c>
      <c r="E1918" s="9">
        <f>E1919</f>
        <v>10048.3552</v>
      </c>
      <c r="F1918" s="9">
        <f t="shared" ref="F1918:G1919" si="1046">F1919</f>
        <v>10048.3552</v>
      </c>
      <c r="G1918" s="9">
        <f t="shared" si="1046"/>
        <v>10048.3552</v>
      </c>
      <c r="H1918" s="9">
        <f>H1919</f>
        <v>10048.3552</v>
      </c>
      <c r="I1918" s="9">
        <f t="shared" si="1006"/>
        <v>100</v>
      </c>
      <c r="J1918" s="9">
        <f t="shared" si="1007"/>
        <v>100</v>
      </c>
    </row>
    <row r="1919" spans="1:10">
      <c r="A1919" s="8" t="s">
        <v>26</v>
      </c>
      <c r="B1919" s="1" t="s">
        <v>124</v>
      </c>
      <c r="C1919" s="1" t="s">
        <v>27</v>
      </c>
      <c r="D1919" s="9">
        <f>D1920</f>
        <v>10048.4</v>
      </c>
      <c r="E1919" s="9">
        <f>E1920</f>
        <v>10048.3552</v>
      </c>
      <c r="F1919" s="9">
        <f t="shared" si="1046"/>
        <v>10048.3552</v>
      </c>
      <c r="G1919" s="9">
        <f t="shared" si="1046"/>
        <v>10048.3552</v>
      </c>
      <c r="H1919" s="9">
        <f>H1920</f>
        <v>10048.3552</v>
      </c>
      <c r="I1919" s="9">
        <f t="shared" si="1006"/>
        <v>100</v>
      </c>
      <c r="J1919" s="9">
        <f t="shared" si="1007"/>
        <v>100</v>
      </c>
    </row>
    <row r="1920" spans="1:10">
      <c r="A1920" s="8" t="s">
        <v>56</v>
      </c>
      <c r="B1920" s="1" t="s">
        <v>124</v>
      </c>
      <c r="C1920" s="1" t="s">
        <v>57</v>
      </c>
      <c r="D1920" s="9">
        <f>ведомство!G150</f>
        <v>10048.4</v>
      </c>
      <c r="E1920" s="9">
        <f>ведомство!H150</f>
        <v>10048.3552</v>
      </c>
      <c r="F1920" s="9">
        <f>ведомство!I150</f>
        <v>10048.3552</v>
      </c>
      <c r="G1920" s="9">
        <f>ведомство!J150</f>
        <v>10048.3552</v>
      </c>
      <c r="H1920" s="9">
        <f>ведомство!K150</f>
        <v>10048.3552</v>
      </c>
      <c r="I1920" s="9">
        <f t="shared" si="1006"/>
        <v>100</v>
      </c>
      <c r="J1920" s="9">
        <f t="shared" si="1007"/>
        <v>100</v>
      </c>
    </row>
    <row r="1921" spans="1:10" ht="38.25">
      <c r="A1921" s="8" t="s">
        <v>125</v>
      </c>
      <c r="B1921" s="1" t="s">
        <v>126</v>
      </c>
      <c r="C1921" s="1" t="s">
        <v>0</v>
      </c>
      <c r="D1921" s="9">
        <f>D1922</f>
        <v>112353.74</v>
      </c>
      <c r="E1921" s="9">
        <f>E1922</f>
        <v>112353.71191</v>
      </c>
      <c r="F1921" s="9">
        <f t="shared" ref="F1921:G1922" si="1047">F1922</f>
        <v>91678.690499999997</v>
      </c>
      <c r="G1921" s="9">
        <f t="shared" si="1047"/>
        <v>91678.690499999997</v>
      </c>
      <c r="H1921" s="9">
        <f>H1922</f>
        <v>88916.390499999994</v>
      </c>
      <c r="I1921" s="9">
        <f t="shared" si="1006"/>
        <v>79.139699960447885</v>
      </c>
      <c r="J1921" s="9">
        <f t="shared" si="1007"/>
        <v>96.986977033665198</v>
      </c>
    </row>
    <row r="1922" spans="1:10">
      <c r="A1922" s="8" t="s">
        <v>26</v>
      </c>
      <c r="B1922" s="1" t="s">
        <v>126</v>
      </c>
      <c r="C1922" s="1" t="s">
        <v>27</v>
      </c>
      <c r="D1922" s="9">
        <f>D1923</f>
        <v>112353.74</v>
      </c>
      <c r="E1922" s="9">
        <f>E1923</f>
        <v>112353.71191</v>
      </c>
      <c r="F1922" s="9">
        <f t="shared" si="1047"/>
        <v>91678.690499999997</v>
      </c>
      <c r="G1922" s="9">
        <f t="shared" si="1047"/>
        <v>91678.690499999997</v>
      </c>
      <c r="H1922" s="9">
        <f>H1923</f>
        <v>88916.390499999994</v>
      </c>
      <c r="I1922" s="9">
        <f t="shared" si="1006"/>
        <v>79.139699960447885</v>
      </c>
      <c r="J1922" s="9">
        <f t="shared" si="1007"/>
        <v>96.986977033665198</v>
      </c>
    </row>
    <row r="1923" spans="1:10">
      <c r="A1923" s="8" t="s">
        <v>56</v>
      </c>
      <c r="B1923" s="1" t="s">
        <v>126</v>
      </c>
      <c r="C1923" s="1" t="s">
        <v>57</v>
      </c>
      <c r="D1923" s="9">
        <f>ведомство!G153+ведомство!G1485</f>
        <v>112353.74</v>
      </c>
      <c r="E1923" s="9">
        <f>ведомство!H153+ведомство!H1485</f>
        <v>112353.71191</v>
      </c>
      <c r="F1923" s="9">
        <f>ведомство!I153+ведомство!I1485</f>
        <v>91678.690499999997</v>
      </c>
      <c r="G1923" s="9">
        <f>ведомство!J153+ведомство!J1485</f>
        <v>91678.690499999997</v>
      </c>
      <c r="H1923" s="9">
        <f>ведомство!K153+ведомство!K1485</f>
        <v>88916.390499999994</v>
      </c>
      <c r="I1923" s="9">
        <f t="shared" si="1006"/>
        <v>79.139699960447885</v>
      </c>
      <c r="J1923" s="9">
        <f t="shared" si="1007"/>
        <v>96.986977033665198</v>
      </c>
    </row>
    <row r="1924" spans="1:10" ht="51">
      <c r="A1924" s="8" t="s">
        <v>184</v>
      </c>
      <c r="B1924" s="1" t="s">
        <v>185</v>
      </c>
      <c r="C1924" s="1" t="s">
        <v>0</v>
      </c>
      <c r="D1924" s="9">
        <f>D1925</f>
        <v>6000</v>
      </c>
      <c r="E1924" s="9">
        <f>E1925</f>
        <v>6000</v>
      </c>
      <c r="F1924" s="9">
        <f t="shared" ref="F1924:G1925" si="1048">F1925</f>
        <v>0</v>
      </c>
      <c r="G1924" s="9">
        <f t="shared" si="1048"/>
        <v>0</v>
      </c>
      <c r="H1924" s="9">
        <f>H1925</f>
        <v>0</v>
      </c>
      <c r="I1924" s="9">
        <f t="shared" si="1006"/>
        <v>0</v>
      </c>
      <c r="J1924" s="9">
        <v>0</v>
      </c>
    </row>
    <row r="1925" spans="1:10">
      <c r="A1925" s="8" t="s">
        <v>26</v>
      </c>
      <c r="B1925" s="1" t="s">
        <v>185</v>
      </c>
      <c r="C1925" s="1" t="s">
        <v>27</v>
      </c>
      <c r="D1925" s="9">
        <f>D1926</f>
        <v>6000</v>
      </c>
      <c r="E1925" s="9">
        <f>E1926</f>
        <v>6000</v>
      </c>
      <c r="F1925" s="9">
        <f t="shared" si="1048"/>
        <v>0</v>
      </c>
      <c r="G1925" s="9">
        <f t="shared" si="1048"/>
        <v>0</v>
      </c>
      <c r="H1925" s="9">
        <f>H1926</f>
        <v>0</v>
      </c>
      <c r="I1925" s="9">
        <f t="shared" ref="I1925:I1986" si="1049">H1925/E1925*100</f>
        <v>0</v>
      </c>
      <c r="J1925" s="9">
        <v>0</v>
      </c>
    </row>
    <row r="1926" spans="1:10">
      <c r="A1926" s="8" t="s">
        <v>56</v>
      </c>
      <c r="B1926" s="1" t="s">
        <v>185</v>
      </c>
      <c r="C1926" s="1" t="s">
        <v>57</v>
      </c>
      <c r="D1926" s="9">
        <f>ведомство!G253</f>
        <v>6000</v>
      </c>
      <c r="E1926" s="9">
        <f>ведомство!H253</f>
        <v>6000</v>
      </c>
      <c r="F1926" s="9">
        <f>ведомство!I253</f>
        <v>0</v>
      </c>
      <c r="G1926" s="9">
        <f>ведомство!J253</f>
        <v>0</v>
      </c>
      <c r="H1926" s="9">
        <f>ведомство!K253</f>
        <v>0</v>
      </c>
      <c r="I1926" s="9">
        <f t="shared" si="1049"/>
        <v>0</v>
      </c>
      <c r="J1926" s="9">
        <v>0</v>
      </c>
    </row>
    <row r="1927" spans="1:10" ht="15.75">
      <c r="A1927" s="18" t="s">
        <v>0</v>
      </c>
      <c r="B1927" s="19" t="s">
        <v>0</v>
      </c>
      <c r="C1927" s="19" t="s">
        <v>0</v>
      </c>
      <c r="D1927" s="20" t="s">
        <v>0</v>
      </c>
      <c r="E1927" s="20" t="s">
        <v>0</v>
      </c>
      <c r="F1927" s="20" t="s">
        <v>0</v>
      </c>
      <c r="G1927" s="20" t="s">
        <v>0</v>
      </c>
      <c r="H1927" s="20" t="s">
        <v>0</v>
      </c>
      <c r="I1927" s="20"/>
      <c r="J1927" s="20"/>
    </row>
    <row r="1928" spans="1:10">
      <c r="A1928" s="4" t="s">
        <v>1103</v>
      </c>
      <c r="B1928" s="1" t="s">
        <v>0</v>
      </c>
      <c r="C1928" s="1" t="s">
        <v>0</v>
      </c>
      <c r="D1928" s="7">
        <f>D1930</f>
        <v>4309471.55</v>
      </c>
      <c r="E1928" s="7">
        <f>E1930</f>
        <v>4309471.6499500005</v>
      </c>
      <c r="F1928" s="7">
        <f t="shared" ref="F1928:G1928" si="1050">F1930</f>
        <v>1562570.50196</v>
      </c>
      <c r="G1928" s="7">
        <f t="shared" si="1050"/>
        <v>1562570.50196</v>
      </c>
      <c r="H1928" s="7">
        <f>H1930</f>
        <v>1529156.5830400002</v>
      </c>
      <c r="I1928" s="7">
        <f t="shared" si="1049"/>
        <v>35.483620899507294</v>
      </c>
      <c r="J1928" s="7">
        <f t="shared" ref="J1928:J1986" si="1051">H1928/F1928*100</f>
        <v>97.861605676154312</v>
      </c>
    </row>
    <row r="1929" spans="1:10">
      <c r="A1929" s="4" t="s">
        <v>0</v>
      </c>
      <c r="B1929" s="17" t="s">
        <v>0</v>
      </c>
      <c r="C1929" s="5" t="s">
        <v>0</v>
      </c>
      <c r="D1929" s="7" t="s">
        <v>0</v>
      </c>
      <c r="E1929" s="7" t="s">
        <v>0</v>
      </c>
      <c r="F1929" s="7" t="s">
        <v>0</v>
      </c>
      <c r="G1929" s="7" t="s">
        <v>0</v>
      </c>
      <c r="H1929" s="7" t="s">
        <v>0</v>
      </c>
      <c r="I1929" s="7"/>
      <c r="J1929" s="7"/>
    </row>
    <row r="1930" spans="1:10" ht="63.75">
      <c r="A1930" s="4" t="s">
        <v>98</v>
      </c>
      <c r="B1930" s="5" t="s">
        <v>99</v>
      </c>
      <c r="C1930" s="5" t="s">
        <v>0</v>
      </c>
      <c r="D1930" s="7">
        <f>D1931+D1938</f>
        <v>4309471.55</v>
      </c>
      <c r="E1930" s="7">
        <f>E1931+E1938</f>
        <v>4309471.6499500005</v>
      </c>
      <c r="F1930" s="7">
        <f t="shared" ref="F1930:G1930" si="1052">F1931+F1938</f>
        <v>1562570.50196</v>
      </c>
      <c r="G1930" s="7">
        <f t="shared" si="1052"/>
        <v>1562570.50196</v>
      </c>
      <c r="H1930" s="7">
        <f>H1931+H1938</f>
        <v>1529156.5830400002</v>
      </c>
      <c r="I1930" s="7">
        <f t="shared" si="1049"/>
        <v>35.483620899507294</v>
      </c>
      <c r="J1930" s="7">
        <f t="shared" si="1051"/>
        <v>97.861605676154312</v>
      </c>
    </row>
    <row r="1931" spans="1:10" ht="25.5">
      <c r="A1931" s="4" t="s">
        <v>199</v>
      </c>
      <c r="B1931" s="5" t="s">
        <v>200</v>
      </c>
      <c r="C1931" s="5" t="s">
        <v>0</v>
      </c>
      <c r="D1931" s="7">
        <f>D1932</f>
        <v>10355.799999999999</v>
      </c>
      <c r="E1931" s="7">
        <f>E1932</f>
        <v>10355.79782</v>
      </c>
      <c r="F1931" s="7">
        <f t="shared" ref="F1931:G1931" si="1053">F1932</f>
        <v>10355.79782</v>
      </c>
      <c r="G1931" s="7">
        <f t="shared" si="1053"/>
        <v>10355.79782</v>
      </c>
      <c r="H1931" s="7">
        <f>H1932</f>
        <v>10355.79782</v>
      </c>
      <c r="I1931" s="7">
        <f t="shared" si="1049"/>
        <v>100</v>
      </c>
      <c r="J1931" s="7">
        <f t="shared" si="1051"/>
        <v>100</v>
      </c>
    </row>
    <row r="1932" spans="1:10" ht="25.5">
      <c r="A1932" s="8" t="s">
        <v>199</v>
      </c>
      <c r="B1932" s="1" t="s">
        <v>201</v>
      </c>
      <c r="C1932" s="1" t="s">
        <v>0</v>
      </c>
      <c r="D1932" s="9">
        <f>D1933+D1935</f>
        <v>10355.799999999999</v>
      </c>
      <c r="E1932" s="9">
        <f>E1933+E1935</f>
        <v>10355.79782</v>
      </c>
      <c r="F1932" s="9">
        <f t="shared" ref="F1932:G1932" si="1054">F1933+F1935</f>
        <v>10355.79782</v>
      </c>
      <c r="G1932" s="9">
        <f t="shared" si="1054"/>
        <v>10355.79782</v>
      </c>
      <c r="H1932" s="9">
        <f>H1933+H1935</f>
        <v>10355.79782</v>
      </c>
      <c r="I1932" s="9">
        <f t="shared" si="1049"/>
        <v>100</v>
      </c>
      <c r="J1932" s="9">
        <f t="shared" si="1051"/>
        <v>100</v>
      </c>
    </row>
    <row r="1933" spans="1:10">
      <c r="A1933" s="8" t="s">
        <v>26</v>
      </c>
      <c r="B1933" s="1" t="s">
        <v>201</v>
      </c>
      <c r="C1933" s="1" t="s">
        <v>27</v>
      </c>
      <c r="D1933" s="9">
        <f>D1934</f>
        <v>1742.8</v>
      </c>
      <c r="E1933" s="9">
        <f>E1934</f>
        <v>1742.8091300000001</v>
      </c>
      <c r="F1933" s="9">
        <f t="shared" ref="F1933:G1933" si="1055">F1934</f>
        <v>1742.8091300000001</v>
      </c>
      <c r="G1933" s="9">
        <f t="shared" si="1055"/>
        <v>1742.8091300000001</v>
      </c>
      <c r="H1933" s="9">
        <f>H1934</f>
        <v>1742.8091300000001</v>
      </c>
      <c r="I1933" s="9">
        <f t="shared" si="1049"/>
        <v>100</v>
      </c>
      <c r="J1933" s="9">
        <f t="shared" si="1051"/>
        <v>100</v>
      </c>
    </row>
    <row r="1934" spans="1:10">
      <c r="A1934" s="8" t="s">
        <v>56</v>
      </c>
      <c r="B1934" s="1" t="s">
        <v>201</v>
      </c>
      <c r="C1934" s="1" t="s">
        <v>57</v>
      </c>
      <c r="D1934" s="9">
        <f>ведомство!G294</f>
        <v>1742.8</v>
      </c>
      <c r="E1934" s="9">
        <f>ведомство!H294</f>
        <v>1742.8091300000001</v>
      </c>
      <c r="F1934" s="9">
        <f>ведомство!I294</f>
        <v>1742.8091300000001</v>
      </c>
      <c r="G1934" s="9">
        <f>ведомство!J294</f>
        <v>1742.8091300000001</v>
      </c>
      <c r="H1934" s="9">
        <f>ведомство!K294</f>
        <v>1742.8091300000001</v>
      </c>
      <c r="I1934" s="9">
        <f t="shared" si="1049"/>
        <v>100</v>
      </c>
      <c r="J1934" s="9">
        <f t="shared" si="1051"/>
        <v>100</v>
      </c>
    </row>
    <row r="1935" spans="1:10" ht="25.5">
      <c r="A1935" s="8" t="s">
        <v>80</v>
      </c>
      <c r="B1935" s="1" t="s">
        <v>201</v>
      </c>
      <c r="C1935" s="1" t="s">
        <v>81</v>
      </c>
      <c r="D1935" s="9">
        <f>D1936</f>
        <v>8613</v>
      </c>
      <c r="E1935" s="9">
        <f>E1936</f>
        <v>8612.9886900000001</v>
      </c>
      <c r="F1935" s="9">
        <f t="shared" ref="F1935:G1935" si="1056">F1936</f>
        <v>8612.9886900000001</v>
      </c>
      <c r="G1935" s="9">
        <f t="shared" si="1056"/>
        <v>8612.9886900000001</v>
      </c>
      <c r="H1935" s="9">
        <f>H1936</f>
        <v>8612.9886900000001</v>
      </c>
      <c r="I1935" s="9">
        <f t="shared" si="1049"/>
        <v>100</v>
      </c>
      <c r="J1935" s="9">
        <f t="shared" si="1051"/>
        <v>100</v>
      </c>
    </row>
    <row r="1936" spans="1:10" ht="25.5">
      <c r="A1936" s="8" t="s">
        <v>195</v>
      </c>
      <c r="B1936" s="1" t="s">
        <v>201</v>
      </c>
      <c r="C1936" s="1" t="s">
        <v>196</v>
      </c>
      <c r="D1936" s="9">
        <f>ведомство!G296</f>
        <v>8613</v>
      </c>
      <c r="E1936" s="9">
        <f>ведомство!H296</f>
        <v>8612.9886900000001</v>
      </c>
      <c r="F1936" s="9">
        <f>ведомство!I296</f>
        <v>8612.9886900000001</v>
      </c>
      <c r="G1936" s="9">
        <f>ведомство!J296</f>
        <v>8612.9886900000001</v>
      </c>
      <c r="H1936" s="9">
        <f>ведомство!K296</f>
        <v>8612.9886900000001</v>
      </c>
      <c r="I1936" s="9">
        <f t="shared" si="1049"/>
        <v>100</v>
      </c>
      <c r="J1936" s="9">
        <f t="shared" si="1051"/>
        <v>100</v>
      </c>
    </row>
    <row r="1937" spans="1:10">
      <c r="A1937" s="4" t="s">
        <v>0</v>
      </c>
      <c r="B1937" s="17" t="s">
        <v>0</v>
      </c>
      <c r="C1937" s="5" t="s">
        <v>0</v>
      </c>
      <c r="D1937" s="7" t="s">
        <v>0</v>
      </c>
      <c r="E1937" s="7" t="s">
        <v>0</v>
      </c>
      <c r="F1937" s="7" t="s">
        <v>0</v>
      </c>
      <c r="G1937" s="7" t="s">
        <v>0</v>
      </c>
      <c r="H1937" s="7" t="s">
        <v>0</v>
      </c>
      <c r="I1937" s="7"/>
      <c r="J1937" s="7"/>
    </row>
    <row r="1938" spans="1:10" ht="51">
      <c r="A1938" s="4" t="s">
        <v>100</v>
      </c>
      <c r="B1938" s="5" t="s">
        <v>101</v>
      </c>
      <c r="C1938" s="5" t="s">
        <v>0</v>
      </c>
      <c r="D1938" s="7">
        <f>D1939+D1944+D1947+D1950+D1955+D1958</f>
        <v>4299115.75</v>
      </c>
      <c r="E1938" s="7">
        <f>E1939+E1944+E1947+E1950+E1955+E1958</f>
        <v>4299115.8521300005</v>
      </c>
      <c r="F1938" s="7">
        <f t="shared" ref="F1938:G1938" si="1057">F1939+F1944+F1947+F1950+F1955+F1958</f>
        <v>1552214.70414</v>
      </c>
      <c r="G1938" s="7">
        <f t="shared" si="1057"/>
        <v>1552214.70414</v>
      </c>
      <c r="H1938" s="7">
        <f>H1939+H1944+H1947+H1950+H1955+H1958</f>
        <v>1518800.7852200002</v>
      </c>
      <c r="I1938" s="7">
        <f t="shared" si="1049"/>
        <v>35.328212531595518</v>
      </c>
      <c r="J1938" s="7">
        <f t="shared" si="1051"/>
        <v>97.84733910644708</v>
      </c>
    </row>
    <row r="1939" spans="1:10" ht="51">
      <c r="A1939" s="8" t="s">
        <v>102</v>
      </c>
      <c r="B1939" s="1" t="s">
        <v>103</v>
      </c>
      <c r="C1939" s="1" t="s">
        <v>0</v>
      </c>
      <c r="D1939" s="9">
        <f>D1940+D1942</f>
        <v>2244907.75</v>
      </c>
      <c r="E1939" s="9">
        <f>E1940+E1942</f>
        <v>2250929.4216</v>
      </c>
      <c r="F1939" s="9">
        <f t="shared" ref="F1939:G1939" si="1058">F1940+F1942</f>
        <v>569752.37780000002</v>
      </c>
      <c r="G1939" s="9">
        <f t="shared" si="1058"/>
        <v>569752.37780000002</v>
      </c>
      <c r="H1939" s="9">
        <f>H1940+H1942</f>
        <v>569752.37780000002</v>
      </c>
      <c r="I1939" s="9">
        <f t="shared" si="1049"/>
        <v>25.311872168564488</v>
      </c>
      <c r="J1939" s="9">
        <f t="shared" si="1051"/>
        <v>100</v>
      </c>
    </row>
    <row r="1940" spans="1:10" ht="25.5">
      <c r="A1940" s="8" t="s">
        <v>39</v>
      </c>
      <c r="B1940" s="1" t="s">
        <v>103</v>
      </c>
      <c r="C1940" s="1" t="s">
        <v>40</v>
      </c>
      <c r="D1940" s="9">
        <f>D1941</f>
        <v>902168.45</v>
      </c>
      <c r="E1940" s="9">
        <f>E1941</f>
        <v>1619445.0038399999</v>
      </c>
      <c r="F1940" s="9">
        <f t="shared" ref="F1940:G1940" si="1059">F1941</f>
        <v>521479.97629999998</v>
      </c>
      <c r="G1940" s="9">
        <f t="shared" si="1059"/>
        <v>521479.97629999998</v>
      </c>
      <c r="H1940" s="9">
        <f>H1941</f>
        <v>521479.97629999998</v>
      </c>
      <c r="I1940" s="9">
        <f t="shared" si="1049"/>
        <v>32.201153794261351</v>
      </c>
      <c r="J1940" s="9">
        <f t="shared" si="1051"/>
        <v>100</v>
      </c>
    </row>
    <row r="1941" spans="1:10">
      <c r="A1941" s="8" t="s">
        <v>41</v>
      </c>
      <c r="B1941" s="1" t="s">
        <v>103</v>
      </c>
      <c r="C1941" s="1" t="s">
        <v>42</v>
      </c>
      <c r="D1941" s="9">
        <f>ведомство!G97</f>
        <v>902168.45</v>
      </c>
      <c r="E1941" s="9">
        <f>ведомство!H97</f>
        <v>1619445.0038399999</v>
      </c>
      <c r="F1941" s="9">
        <f>ведомство!I97</f>
        <v>521479.97629999998</v>
      </c>
      <c r="G1941" s="9">
        <f>ведомство!J97</f>
        <v>521479.97629999998</v>
      </c>
      <c r="H1941" s="9">
        <f>ведомство!K97</f>
        <v>521479.97629999998</v>
      </c>
      <c r="I1941" s="9">
        <f t="shared" si="1049"/>
        <v>32.201153794261351</v>
      </c>
      <c r="J1941" s="9">
        <f t="shared" si="1051"/>
        <v>100</v>
      </c>
    </row>
    <row r="1942" spans="1:10">
      <c r="A1942" s="8" t="s">
        <v>26</v>
      </c>
      <c r="B1942" s="1" t="s">
        <v>103</v>
      </c>
      <c r="C1942" s="1" t="s">
        <v>27</v>
      </c>
      <c r="D1942" s="9">
        <f>D1943</f>
        <v>1342739.3</v>
      </c>
      <c r="E1942" s="9">
        <f>E1943</f>
        <v>631484.41775999998</v>
      </c>
      <c r="F1942" s="9">
        <f t="shared" ref="F1942:G1942" si="1060">F1943</f>
        <v>48272.4015</v>
      </c>
      <c r="G1942" s="9">
        <f t="shared" si="1060"/>
        <v>48272.4015</v>
      </c>
      <c r="H1942" s="9">
        <f>H1943</f>
        <v>48272.4015</v>
      </c>
      <c r="I1942" s="9">
        <f t="shared" si="1049"/>
        <v>7.644274370416257</v>
      </c>
      <c r="J1942" s="9">
        <f t="shared" si="1051"/>
        <v>100</v>
      </c>
    </row>
    <row r="1943" spans="1:10">
      <c r="A1943" s="8" t="s">
        <v>56</v>
      </c>
      <c r="B1943" s="1" t="s">
        <v>103</v>
      </c>
      <c r="C1943" s="1" t="s">
        <v>57</v>
      </c>
      <c r="D1943" s="9">
        <f>ведомство!G300</f>
        <v>1342739.3</v>
      </c>
      <c r="E1943" s="9">
        <f>ведомство!H300</f>
        <v>631484.41775999998</v>
      </c>
      <c r="F1943" s="9">
        <f>ведомство!I300</f>
        <v>48272.4015</v>
      </c>
      <c r="G1943" s="9">
        <f>ведомство!J300</f>
        <v>48272.4015</v>
      </c>
      <c r="H1943" s="9">
        <f>ведомство!K300</f>
        <v>48272.4015</v>
      </c>
      <c r="I1943" s="9">
        <f t="shared" si="1049"/>
        <v>7.644274370416257</v>
      </c>
      <c r="J1943" s="9">
        <f t="shared" si="1051"/>
        <v>100</v>
      </c>
    </row>
    <row r="1944" spans="1:10" ht="25.5">
      <c r="A1944" s="8" t="s">
        <v>202</v>
      </c>
      <c r="B1944" s="1" t="s">
        <v>203</v>
      </c>
      <c r="C1944" s="1" t="s">
        <v>0</v>
      </c>
      <c r="D1944" s="9">
        <f>D1945</f>
        <v>686659.8</v>
      </c>
      <c r="E1944" s="9">
        <f>E1945</f>
        <v>751659.78500000003</v>
      </c>
      <c r="F1944" s="9">
        <f t="shared" ref="F1944:G1945" si="1061">F1945</f>
        <v>242628.48402</v>
      </c>
      <c r="G1944" s="9">
        <f t="shared" si="1061"/>
        <v>242628.48402</v>
      </c>
      <c r="H1944" s="9">
        <f>H1945</f>
        <v>229910.48652000001</v>
      </c>
      <c r="I1944" s="9">
        <f t="shared" si="1049"/>
        <v>30.587040986900742</v>
      </c>
      <c r="J1944" s="9">
        <f t="shared" si="1051"/>
        <v>94.758242194287618</v>
      </c>
    </row>
    <row r="1945" spans="1:10">
      <c r="A1945" s="8" t="s">
        <v>26</v>
      </c>
      <c r="B1945" s="1" t="s">
        <v>203</v>
      </c>
      <c r="C1945" s="1" t="s">
        <v>27</v>
      </c>
      <c r="D1945" s="9">
        <f>D1946</f>
        <v>686659.8</v>
      </c>
      <c r="E1945" s="9">
        <f>E1946</f>
        <v>751659.78500000003</v>
      </c>
      <c r="F1945" s="9">
        <f t="shared" si="1061"/>
        <v>242628.48402</v>
      </c>
      <c r="G1945" s="9">
        <f t="shared" si="1061"/>
        <v>242628.48402</v>
      </c>
      <c r="H1945" s="9">
        <f>H1946</f>
        <v>229910.48652000001</v>
      </c>
      <c r="I1945" s="9">
        <f t="shared" si="1049"/>
        <v>30.587040986900742</v>
      </c>
      <c r="J1945" s="9">
        <f t="shared" si="1051"/>
        <v>94.758242194287618</v>
      </c>
    </row>
    <row r="1946" spans="1:10">
      <c r="A1946" s="8" t="s">
        <v>56</v>
      </c>
      <c r="B1946" s="1" t="s">
        <v>203</v>
      </c>
      <c r="C1946" s="1" t="s">
        <v>57</v>
      </c>
      <c r="D1946" s="9">
        <f>ведомство!G303</f>
        <v>686659.8</v>
      </c>
      <c r="E1946" s="9">
        <f>ведомство!H303</f>
        <v>751659.78500000003</v>
      </c>
      <c r="F1946" s="9">
        <f>ведомство!I303</f>
        <v>242628.48402</v>
      </c>
      <c r="G1946" s="9">
        <f>ведомство!J303</f>
        <v>242628.48402</v>
      </c>
      <c r="H1946" s="9">
        <f>ведомство!K303</f>
        <v>229910.48652000001</v>
      </c>
      <c r="I1946" s="9">
        <f t="shared" si="1049"/>
        <v>30.587040986900742</v>
      </c>
      <c r="J1946" s="9">
        <f t="shared" si="1051"/>
        <v>94.758242194287618</v>
      </c>
    </row>
    <row r="1947" spans="1:10" ht="38.25">
      <c r="A1947" s="8" t="s">
        <v>204</v>
      </c>
      <c r="B1947" s="1" t="s">
        <v>205</v>
      </c>
      <c r="C1947" s="1" t="s">
        <v>0</v>
      </c>
      <c r="D1947" s="9">
        <f>D1948</f>
        <v>263799.5</v>
      </c>
      <c r="E1947" s="9">
        <f>E1948</f>
        <v>192777.94553</v>
      </c>
      <c r="F1947" s="9">
        <f t="shared" ref="F1947:G1948" si="1062">F1948</f>
        <v>83491.239480000004</v>
      </c>
      <c r="G1947" s="9">
        <f t="shared" si="1062"/>
        <v>83491.239480000004</v>
      </c>
      <c r="H1947" s="9">
        <f>H1948</f>
        <v>83416.459260000003</v>
      </c>
      <c r="I1947" s="9">
        <f t="shared" si="1049"/>
        <v>43.270748129753663</v>
      </c>
      <c r="J1947" s="9">
        <f t="shared" si="1051"/>
        <v>99.91043345329912</v>
      </c>
    </row>
    <row r="1948" spans="1:10">
      <c r="A1948" s="8" t="s">
        <v>26</v>
      </c>
      <c r="B1948" s="1" t="s">
        <v>205</v>
      </c>
      <c r="C1948" s="1" t="s">
        <v>27</v>
      </c>
      <c r="D1948" s="9">
        <f>D1949</f>
        <v>263799.5</v>
      </c>
      <c r="E1948" s="9">
        <f>E1949</f>
        <v>192777.94553</v>
      </c>
      <c r="F1948" s="9">
        <f t="shared" si="1062"/>
        <v>83491.239480000004</v>
      </c>
      <c r="G1948" s="9">
        <f t="shared" si="1062"/>
        <v>83491.239480000004</v>
      </c>
      <c r="H1948" s="9">
        <f>H1949</f>
        <v>83416.459260000003</v>
      </c>
      <c r="I1948" s="9">
        <f t="shared" si="1049"/>
        <v>43.270748129753663</v>
      </c>
      <c r="J1948" s="9">
        <f t="shared" si="1051"/>
        <v>99.91043345329912</v>
      </c>
    </row>
    <row r="1949" spans="1:10">
      <c r="A1949" s="8" t="s">
        <v>56</v>
      </c>
      <c r="B1949" s="1" t="s">
        <v>205</v>
      </c>
      <c r="C1949" s="1" t="s">
        <v>57</v>
      </c>
      <c r="D1949" s="9">
        <f>ведомство!G306</f>
        <v>263799.5</v>
      </c>
      <c r="E1949" s="9">
        <f>ведомство!H306</f>
        <v>192777.94553</v>
      </c>
      <c r="F1949" s="9">
        <f>ведомство!I306</f>
        <v>83491.239480000004</v>
      </c>
      <c r="G1949" s="9">
        <f>ведомство!J306</f>
        <v>83491.239480000004</v>
      </c>
      <c r="H1949" s="9">
        <f>ведомство!K306</f>
        <v>83416.459260000003</v>
      </c>
      <c r="I1949" s="9">
        <f t="shared" si="1049"/>
        <v>43.270748129753663</v>
      </c>
      <c r="J1949" s="9">
        <f t="shared" si="1051"/>
        <v>99.91043345329912</v>
      </c>
    </row>
    <row r="1950" spans="1:10" ht="51">
      <c r="A1950" s="8" t="s">
        <v>102</v>
      </c>
      <c r="B1950" s="1" t="s">
        <v>104</v>
      </c>
      <c r="C1950" s="1" t="s">
        <v>0</v>
      </c>
      <c r="D1950" s="9">
        <f>D1951+D1953</f>
        <v>551212.6</v>
      </c>
      <c r="E1950" s="9">
        <f>E1951+E1953</f>
        <v>579503.32675999997</v>
      </c>
      <c r="F1950" s="9">
        <f t="shared" ref="F1950:G1950" si="1063">F1951+F1953</f>
        <v>365558.00770999998</v>
      </c>
      <c r="G1950" s="9">
        <f t="shared" si="1063"/>
        <v>365558.00770999998</v>
      </c>
      <c r="H1950" s="9">
        <f>H1951+H1953</f>
        <v>352710.34271</v>
      </c>
      <c r="I1950" s="9">
        <f t="shared" si="1049"/>
        <v>60.86424812813442</v>
      </c>
      <c r="J1950" s="9">
        <f t="shared" si="1051"/>
        <v>96.485464760987512</v>
      </c>
    </row>
    <row r="1951" spans="1:10" ht="25.5">
      <c r="A1951" s="8" t="s">
        <v>39</v>
      </c>
      <c r="B1951" s="1" t="s">
        <v>104</v>
      </c>
      <c r="C1951" s="1" t="s">
        <v>40</v>
      </c>
      <c r="D1951" s="9">
        <f>D1952</f>
        <v>235372.4</v>
      </c>
      <c r="E1951" s="9">
        <f>E1952</f>
        <v>235372.4</v>
      </c>
      <c r="F1951" s="9">
        <f t="shared" ref="F1951:G1951" si="1064">F1952</f>
        <v>235372.4</v>
      </c>
      <c r="G1951" s="9">
        <f t="shared" si="1064"/>
        <v>235372.4</v>
      </c>
      <c r="H1951" s="9">
        <f>H1952</f>
        <v>235372.4</v>
      </c>
      <c r="I1951" s="9">
        <f t="shared" si="1049"/>
        <v>100</v>
      </c>
      <c r="J1951" s="9">
        <f t="shared" si="1051"/>
        <v>100</v>
      </c>
    </row>
    <row r="1952" spans="1:10">
      <c r="A1952" s="8" t="s">
        <v>41</v>
      </c>
      <c r="B1952" s="1" t="s">
        <v>104</v>
      </c>
      <c r="C1952" s="1" t="s">
        <v>42</v>
      </c>
      <c r="D1952" s="9">
        <f>ведомство!G100</f>
        <v>235372.4</v>
      </c>
      <c r="E1952" s="9">
        <f>ведомство!H100</f>
        <v>235372.4</v>
      </c>
      <c r="F1952" s="9">
        <f>ведомство!I100</f>
        <v>235372.4</v>
      </c>
      <c r="G1952" s="9">
        <f>ведомство!J100</f>
        <v>235372.4</v>
      </c>
      <c r="H1952" s="9">
        <f>ведомство!K100</f>
        <v>235372.4</v>
      </c>
      <c r="I1952" s="9">
        <f t="shared" si="1049"/>
        <v>100</v>
      </c>
      <c r="J1952" s="9">
        <f t="shared" si="1051"/>
        <v>100</v>
      </c>
    </row>
    <row r="1953" spans="1:10">
      <c r="A1953" s="8" t="s">
        <v>26</v>
      </c>
      <c r="B1953" s="1" t="s">
        <v>104</v>
      </c>
      <c r="C1953" s="1" t="s">
        <v>27</v>
      </c>
      <c r="D1953" s="9">
        <f>D1954</f>
        <v>315840.2</v>
      </c>
      <c r="E1953" s="9">
        <f>E1954</f>
        <v>344130.92676</v>
      </c>
      <c r="F1953" s="9">
        <f t="shared" ref="F1953:G1953" si="1065">F1954</f>
        <v>130185.60771</v>
      </c>
      <c r="G1953" s="9">
        <f t="shared" si="1065"/>
        <v>130185.60771</v>
      </c>
      <c r="H1953" s="9">
        <f>H1954</f>
        <v>117337.94271</v>
      </c>
      <c r="I1953" s="9">
        <f t="shared" si="1049"/>
        <v>34.096889754936946</v>
      </c>
      <c r="J1953" s="9">
        <f t="shared" si="1051"/>
        <v>90.131270863197628</v>
      </c>
    </row>
    <row r="1954" spans="1:10">
      <c r="A1954" s="8" t="s">
        <v>56</v>
      </c>
      <c r="B1954" s="1" t="s">
        <v>104</v>
      </c>
      <c r="C1954" s="1" t="s">
        <v>57</v>
      </c>
      <c r="D1954" s="9">
        <f>ведомство!G309+ведомство!G376</f>
        <v>315840.2</v>
      </c>
      <c r="E1954" s="9">
        <f>ведомство!H309+ведомство!H376</f>
        <v>344130.92676</v>
      </c>
      <c r="F1954" s="9">
        <f>ведомство!I309+ведомство!I376</f>
        <v>130185.60771</v>
      </c>
      <c r="G1954" s="9">
        <f>ведомство!J309+ведомство!J376</f>
        <v>130185.60771</v>
      </c>
      <c r="H1954" s="9">
        <f>ведомство!K309+ведомство!K376</f>
        <v>117337.94271</v>
      </c>
      <c r="I1954" s="9">
        <f t="shared" si="1049"/>
        <v>34.096889754936946</v>
      </c>
      <c r="J1954" s="9">
        <f t="shared" si="1051"/>
        <v>90.131270863197628</v>
      </c>
    </row>
    <row r="1955" spans="1:10" ht="25.5">
      <c r="A1955" s="8" t="s">
        <v>202</v>
      </c>
      <c r="B1955" s="1" t="s">
        <v>206</v>
      </c>
      <c r="C1955" s="1" t="s">
        <v>0</v>
      </c>
      <c r="D1955" s="9">
        <f>D1956</f>
        <v>482113.1</v>
      </c>
      <c r="E1955" s="9">
        <f>E1956</f>
        <v>453822.36323999998</v>
      </c>
      <c r="F1955" s="9">
        <f t="shared" ref="F1955:G1956" si="1066">F1956</f>
        <v>221705.32259</v>
      </c>
      <c r="G1955" s="9">
        <f t="shared" si="1066"/>
        <v>221705.32259</v>
      </c>
      <c r="H1955" s="9">
        <f>H1956</f>
        <v>213931.84638999999</v>
      </c>
      <c r="I1955" s="9">
        <f t="shared" si="1049"/>
        <v>47.139996553423266</v>
      </c>
      <c r="J1955" s="9">
        <f t="shared" si="1051"/>
        <v>96.493780072941462</v>
      </c>
    </row>
    <row r="1956" spans="1:10">
      <c r="A1956" s="8" t="s">
        <v>26</v>
      </c>
      <c r="B1956" s="1" t="s">
        <v>206</v>
      </c>
      <c r="C1956" s="1" t="s">
        <v>27</v>
      </c>
      <c r="D1956" s="9">
        <f>D1957</f>
        <v>482113.1</v>
      </c>
      <c r="E1956" s="9">
        <f>E1957</f>
        <v>453822.36323999998</v>
      </c>
      <c r="F1956" s="9">
        <f t="shared" si="1066"/>
        <v>221705.32259</v>
      </c>
      <c r="G1956" s="9">
        <f t="shared" si="1066"/>
        <v>221705.32259</v>
      </c>
      <c r="H1956" s="9">
        <f>H1957</f>
        <v>213931.84638999999</v>
      </c>
      <c r="I1956" s="9">
        <f t="shared" si="1049"/>
        <v>47.139996553423266</v>
      </c>
      <c r="J1956" s="9">
        <f t="shared" si="1051"/>
        <v>96.493780072941462</v>
      </c>
    </row>
    <row r="1957" spans="1:10">
      <c r="A1957" s="8" t="s">
        <v>56</v>
      </c>
      <c r="B1957" s="1" t="s">
        <v>206</v>
      </c>
      <c r="C1957" s="1" t="s">
        <v>57</v>
      </c>
      <c r="D1957" s="9">
        <f>ведомство!G312</f>
        <v>482113.1</v>
      </c>
      <c r="E1957" s="9">
        <f>ведомство!H312</f>
        <v>453822.36323999998</v>
      </c>
      <c r="F1957" s="9">
        <f>ведомство!I312</f>
        <v>221705.32259</v>
      </c>
      <c r="G1957" s="9">
        <f>ведомство!J312</f>
        <v>221705.32259</v>
      </c>
      <c r="H1957" s="9">
        <f>ведомство!K312</f>
        <v>213931.84638999999</v>
      </c>
      <c r="I1957" s="9">
        <f t="shared" si="1049"/>
        <v>47.139996553423266</v>
      </c>
      <c r="J1957" s="9">
        <f t="shared" si="1051"/>
        <v>96.493780072941462</v>
      </c>
    </row>
    <row r="1958" spans="1:10" ht="38.25">
      <c r="A1958" s="8" t="s">
        <v>204</v>
      </c>
      <c r="B1958" s="1" t="s">
        <v>207</v>
      </c>
      <c r="C1958" s="1" t="s">
        <v>0</v>
      </c>
      <c r="D1958" s="9">
        <f>D1959</f>
        <v>70423</v>
      </c>
      <c r="E1958" s="9">
        <f>E1959</f>
        <v>70423.009999999995</v>
      </c>
      <c r="F1958" s="9">
        <f t="shared" ref="F1958:G1959" si="1067">F1959</f>
        <v>69079.272540000005</v>
      </c>
      <c r="G1958" s="9">
        <f t="shared" si="1067"/>
        <v>69079.272540000005</v>
      </c>
      <c r="H1958" s="9">
        <f>H1959</f>
        <v>69079.272540000005</v>
      </c>
      <c r="I1958" s="9">
        <f t="shared" si="1049"/>
        <v>98.091905671171972</v>
      </c>
      <c r="J1958" s="9">
        <f t="shared" si="1051"/>
        <v>100</v>
      </c>
    </row>
    <row r="1959" spans="1:10">
      <c r="A1959" s="8" t="s">
        <v>26</v>
      </c>
      <c r="B1959" s="1" t="s">
        <v>207</v>
      </c>
      <c r="C1959" s="1" t="s">
        <v>27</v>
      </c>
      <c r="D1959" s="9">
        <f>D1960</f>
        <v>70423</v>
      </c>
      <c r="E1959" s="9">
        <f>E1960</f>
        <v>70423.009999999995</v>
      </c>
      <c r="F1959" s="9">
        <f t="shared" si="1067"/>
        <v>69079.272540000005</v>
      </c>
      <c r="G1959" s="9">
        <f t="shared" si="1067"/>
        <v>69079.272540000005</v>
      </c>
      <c r="H1959" s="9">
        <f>H1960</f>
        <v>69079.272540000005</v>
      </c>
      <c r="I1959" s="9">
        <f t="shared" si="1049"/>
        <v>98.091905671171972</v>
      </c>
      <c r="J1959" s="9">
        <f t="shared" si="1051"/>
        <v>100</v>
      </c>
    </row>
    <row r="1960" spans="1:10">
      <c r="A1960" s="8" t="s">
        <v>56</v>
      </c>
      <c r="B1960" s="1" t="s">
        <v>207</v>
      </c>
      <c r="C1960" s="1" t="s">
        <v>57</v>
      </c>
      <c r="D1960" s="9">
        <f>ведомство!G315</f>
        <v>70423</v>
      </c>
      <c r="E1960" s="9">
        <f>ведомство!H315</f>
        <v>70423.009999999995</v>
      </c>
      <c r="F1960" s="9">
        <f>ведомство!I315</f>
        <v>69079.272540000005</v>
      </c>
      <c r="G1960" s="9">
        <f>ведомство!J315</f>
        <v>69079.272540000005</v>
      </c>
      <c r="H1960" s="9">
        <f>ведомство!K315</f>
        <v>69079.272540000005</v>
      </c>
      <c r="I1960" s="9">
        <f t="shared" si="1049"/>
        <v>98.091905671171972</v>
      </c>
      <c r="J1960" s="9">
        <f t="shared" si="1051"/>
        <v>100</v>
      </c>
    </row>
    <row r="1961" spans="1:10" ht="15.75">
      <c r="A1961" s="18" t="s">
        <v>0</v>
      </c>
      <c r="B1961" s="19" t="s">
        <v>0</v>
      </c>
      <c r="C1961" s="19" t="s">
        <v>0</v>
      </c>
      <c r="D1961" s="20" t="s">
        <v>0</v>
      </c>
      <c r="E1961" s="20" t="s">
        <v>0</v>
      </c>
      <c r="F1961" s="20" t="s">
        <v>0</v>
      </c>
      <c r="G1961" s="20" t="s">
        <v>0</v>
      </c>
      <c r="H1961" s="20" t="s">
        <v>0</v>
      </c>
      <c r="I1961" s="20"/>
      <c r="J1961" s="20"/>
    </row>
    <row r="1962" spans="1:10">
      <c r="A1962" s="4" t="s">
        <v>1104</v>
      </c>
      <c r="B1962" s="1" t="s">
        <v>0</v>
      </c>
      <c r="C1962" s="1" t="s">
        <v>0</v>
      </c>
      <c r="D1962" s="7">
        <f>D1964+D1983+D2004+D1996</f>
        <v>50929</v>
      </c>
      <c r="E1962" s="7">
        <f t="shared" ref="E1962" si="1068">E1964+E1983+E2004+E1996</f>
        <v>50929</v>
      </c>
      <c r="F1962" s="7">
        <f t="shared" ref="F1962:H1962" si="1069">F1964+F1983+F2004+F1996</f>
        <v>6419.1</v>
      </c>
      <c r="G1962" s="7">
        <f t="shared" si="1069"/>
        <v>6280.45</v>
      </c>
      <c r="H1962" s="7">
        <f t="shared" si="1069"/>
        <v>6276.6108999999997</v>
      </c>
      <c r="I1962" s="7">
        <f t="shared" si="1049"/>
        <v>12.324237467847395</v>
      </c>
      <c r="J1962" s="7">
        <f t="shared" si="1051"/>
        <v>97.780232431337723</v>
      </c>
    </row>
    <row r="1963" spans="1:10">
      <c r="A1963" s="4" t="s">
        <v>0</v>
      </c>
      <c r="B1963" s="17" t="s">
        <v>0</v>
      </c>
      <c r="C1963" s="5" t="s">
        <v>0</v>
      </c>
      <c r="D1963" s="7" t="s">
        <v>0</v>
      </c>
      <c r="E1963" s="7" t="s">
        <v>0</v>
      </c>
      <c r="F1963" s="7" t="s">
        <v>0</v>
      </c>
      <c r="G1963" s="7" t="s">
        <v>0</v>
      </c>
      <c r="H1963" s="7" t="s">
        <v>0</v>
      </c>
      <c r="I1963" s="7"/>
      <c r="J1963" s="7"/>
    </row>
    <row r="1964" spans="1:10" ht="38.25">
      <c r="A1964" s="4" t="s">
        <v>377</v>
      </c>
      <c r="B1964" s="5" t="s">
        <v>378</v>
      </c>
      <c r="C1964" s="5" t="s">
        <v>0</v>
      </c>
      <c r="D1964" s="7">
        <f>D1965++D1969+D1972+D1979</f>
        <v>3990</v>
      </c>
      <c r="E1964" s="7">
        <f>E1965++E1969+E1972+E1979</f>
        <v>3990</v>
      </c>
      <c r="F1964" s="7">
        <f t="shared" ref="F1964:G1964" si="1070">F1965++F1969+F1972+F1979</f>
        <v>2707.1</v>
      </c>
      <c r="G1964" s="7">
        <f t="shared" si="1070"/>
        <v>2568.4499999999998</v>
      </c>
      <c r="H1964" s="7">
        <f>H1965++H1969+H1972+H1979</f>
        <v>2564.6109000000001</v>
      </c>
      <c r="I1964" s="7">
        <f t="shared" si="1049"/>
        <v>64.27596240601504</v>
      </c>
      <c r="J1964" s="7">
        <f t="shared" si="1051"/>
        <v>94.736467068080245</v>
      </c>
    </row>
    <row r="1965" spans="1:10" ht="25.5">
      <c r="A1965" s="8" t="s">
        <v>76</v>
      </c>
      <c r="B1965" s="1" t="s">
        <v>379</v>
      </c>
      <c r="C1965" s="1" t="s">
        <v>0</v>
      </c>
      <c r="D1965" s="9">
        <f>D1966</f>
        <v>1770</v>
      </c>
      <c r="E1965" s="9">
        <f>E1966</f>
        <v>1770</v>
      </c>
      <c r="F1965" s="9">
        <f t="shared" ref="F1965:G1965" si="1071">F1966</f>
        <v>1360</v>
      </c>
      <c r="G1965" s="9">
        <f t="shared" si="1071"/>
        <v>1360</v>
      </c>
      <c r="H1965" s="9">
        <f>H1966</f>
        <v>1360</v>
      </c>
      <c r="I1965" s="9">
        <f t="shared" si="1049"/>
        <v>76.836158192090394</v>
      </c>
      <c r="J1965" s="9">
        <f t="shared" si="1051"/>
        <v>100</v>
      </c>
    </row>
    <row r="1966" spans="1:10" ht="25.5">
      <c r="A1966" s="8" t="s">
        <v>80</v>
      </c>
      <c r="B1966" s="1" t="s">
        <v>379</v>
      </c>
      <c r="C1966" s="1" t="s">
        <v>81</v>
      </c>
      <c r="D1966" s="9">
        <f>D1967+D1968</f>
        <v>1770</v>
      </c>
      <c r="E1966" s="9">
        <f>E1967+E1968</f>
        <v>1770</v>
      </c>
      <c r="F1966" s="9">
        <f t="shared" ref="F1966:G1966" si="1072">F1967+F1968</f>
        <v>1360</v>
      </c>
      <c r="G1966" s="9">
        <f t="shared" si="1072"/>
        <v>1360</v>
      </c>
      <c r="H1966" s="9">
        <f>H1967+H1968</f>
        <v>1360</v>
      </c>
      <c r="I1966" s="9">
        <f t="shared" si="1049"/>
        <v>76.836158192090394</v>
      </c>
      <c r="J1966" s="9">
        <f t="shared" si="1051"/>
        <v>100</v>
      </c>
    </row>
    <row r="1967" spans="1:10">
      <c r="A1967" s="8" t="s">
        <v>271</v>
      </c>
      <c r="B1967" s="1" t="s">
        <v>379</v>
      </c>
      <c r="C1967" s="1" t="s">
        <v>272</v>
      </c>
      <c r="D1967" s="9">
        <f>ведомство!G858</f>
        <v>250</v>
      </c>
      <c r="E1967" s="9">
        <f>ведомство!H858+ведомство!H799</f>
        <v>250</v>
      </c>
      <c r="F1967" s="9">
        <f>ведомство!I858+ведомство!I799</f>
        <v>0</v>
      </c>
      <c r="G1967" s="9">
        <f>ведомство!J858+ведомство!J799</f>
        <v>0</v>
      </c>
      <c r="H1967" s="9">
        <f>ведомство!K858+ведомство!K799</f>
        <v>0</v>
      </c>
      <c r="I1967" s="9">
        <f t="shared" si="1049"/>
        <v>0</v>
      </c>
      <c r="J1967" s="9">
        <v>0</v>
      </c>
    </row>
    <row r="1968" spans="1:10">
      <c r="A1968" s="8" t="s">
        <v>82</v>
      </c>
      <c r="B1968" s="1" t="s">
        <v>379</v>
      </c>
      <c r="C1968" s="1" t="s">
        <v>83</v>
      </c>
      <c r="D1968" s="9">
        <f>ведомство!G2842</f>
        <v>1520</v>
      </c>
      <c r="E1968" s="9">
        <f>ведомство!H2842</f>
        <v>1520</v>
      </c>
      <c r="F1968" s="9">
        <f>ведомство!I2842</f>
        <v>1360</v>
      </c>
      <c r="G1968" s="9">
        <f>ведомство!J2842</f>
        <v>1360</v>
      </c>
      <c r="H1968" s="9">
        <f>ведомство!K2842</f>
        <v>1360</v>
      </c>
      <c r="I1968" s="9">
        <f t="shared" si="1049"/>
        <v>89.473684210526315</v>
      </c>
      <c r="J1968" s="9">
        <f t="shared" si="1051"/>
        <v>100</v>
      </c>
    </row>
    <row r="1969" spans="1:10">
      <c r="A1969" s="8" t="s">
        <v>424</v>
      </c>
      <c r="B1969" s="1" t="s">
        <v>453</v>
      </c>
      <c r="C1969" s="1" t="s">
        <v>0</v>
      </c>
      <c r="D1969" s="9">
        <f>D1970</f>
        <v>1415</v>
      </c>
      <c r="E1969" s="9">
        <f>E1970</f>
        <v>1415</v>
      </c>
      <c r="F1969" s="9">
        <f t="shared" ref="F1969:G1970" si="1073">F1970</f>
        <v>920</v>
      </c>
      <c r="G1969" s="9">
        <f t="shared" si="1073"/>
        <v>920</v>
      </c>
      <c r="H1969" s="9">
        <f>H1970</f>
        <v>920</v>
      </c>
      <c r="I1969" s="9">
        <f t="shared" si="1049"/>
        <v>65.017667844522961</v>
      </c>
      <c r="J1969" s="9">
        <f t="shared" si="1051"/>
        <v>100</v>
      </c>
    </row>
    <row r="1970" spans="1:10" ht="25.5">
      <c r="A1970" s="8" t="s">
        <v>80</v>
      </c>
      <c r="B1970" s="1" t="s">
        <v>453</v>
      </c>
      <c r="C1970" s="1" t="s">
        <v>81</v>
      </c>
      <c r="D1970" s="9">
        <f>D1971</f>
        <v>1415</v>
      </c>
      <c r="E1970" s="9">
        <f>E1971</f>
        <v>1415</v>
      </c>
      <c r="F1970" s="9">
        <f t="shared" si="1073"/>
        <v>920</v>
      </c>
      <c r="G1970" s="9">
        <f t="shared" si="1073"/>
        <v>920</v>
      </c>
      <c r="H1970" s="9">
        <f>H1971</f>
        <v>920</v>
      </c>
      <c r="I1970" s="9">
        <f t="shared" si="1049"/>
        <v>65.017667844522961</v>
      </c>
      <c r="J1970" s="9">
        <f t="shared" si="1051"/>
        <v>100</v>
      </c>
    </row>
    <row r="1971" spans="1:10">
      <c r="A1971" s="8" t="s">
        <v>82</v>
      </c>
      <c r="B1971" s="1" t="s">
        <v>453</v>
      </c>
      <c r="C1971" s="1" t="s">
        <v>83</v>
      </c>
      <c r="D1971" s="9">
        <f>ведомство!G1194</f>
        <v>1415</v>
      </c>
      <c r="E1971" s="9">
        <f>ведомство!H1194</f>
        <v>1415</v>
      </c>
      <c r="F1971" s="9">
        <f>ведомство!I1194</f>
        <v>920</v>
      </c>
      <c r="G1971" s="9">
        <f>ведомство!J1194</f>
        <v>920</v>
      </c>
      <c r="H1971" s="9">
        <f>ведомство!K1194</f>
        <v>920</v>
      </c>
      <c r="I1971" s="9">
        <f t="shared" si="1049"/>
        <v>65.017667844522961</v>
      </c>
      <c r="J1971" s="9">
        <f t="shared" si="1051"/>
        <v>100</v>
      </c>
    </row>
    <row r="1972" spans="1:10" ht="25.5">
      <c r="A1972" s="8" t="s">
        <v>617</v>
      </c>
      <c r="B1972" s="1" t="s">
        <v>618</v>
      </c>
      <c r="C1972" s="1" t="s">
        <v>0</v>
      </c>
      <c r="D1972" s="9">
        <f>D1973+D1975+D1977</f>
        <v>705</v>
      </c>
      <c r="E1972" s="9">
        <f>E1973+E1975+E1977</f>
        <v>705</v>
      </c>
      <c r="F1972" s="9">
        <f t="shared" ref="F1972:G1972" si="1074">F1973+F1975+F1977</f>
        <v>427.1</v>
      </c>
      <c r="G1972" s="9">
        <f t="shared" si="1074"/>
        <v>288.45</v>
      </c>
      <c r="H1972" s="9">
        <f>H1973+H1975+H1977</f>
        <v>284.61090000000002</v>
      </c>
      <c r="I1972" s="9">
        <f t="shared" si="1049"/>
        <v>40.370340425531914</v>
      </c>
      <c r="J1972" s="9">
        <f t="shared" si="1051"/>
        <v>66.638000468274399</v>
      </c>
    </row>
    <row r="1973" spans="1:10" ht="51">
      <c r="A1973" s="8" t="s">
        <v>60</v>
      </c>
      <c r="B1973" s="1" t="s">
        <v>618</v>
      </c>
      <c r="C1973" s="1" t="s">
        <v>61</v>
      </c>
      <c r="D1973" s="9">
        <f>D1974</f>
        <v>230</v>
      </c>
      <c r="E1973" s="9">
        <f>E1974</f>
        <v>230</v>
      </c>
      <c r="F1973" s="9">
        <f t="shared" ref="F1973:G1973" si="1075">F1974</f>
        <v>172.1</v>
      </c>
      <c r="G1973" s="9">
        <f t="shared" si="1075"/>
        <v>112.3</v>
      </c>
      <c r="H1973" s="9">
        <f>H1974</f>
        <v>109.37</v>
      </c>
      <c r="I1973" s="9">
        <f t="shared" si="1049"/>
        <v>47.552173913043482</v>
      </c>
      <c r="J1973" s="9">
        <f t="shared" si="1051"/>
        <v>63.550261475886117</v>
      </c>
    </row>
    <row r="1974" spans="1:10" ht="25.5">
      <c r="A1974" s="8" t="s">
        <v>62</v>
      </c>
      <c r="B1974" s="1" t="s">
        <v>618</v>
      </c>
      <c r="C1974" s="1" t="s">
        <v>63</v>
      </c>
      <c r="D1974" s="9">
        <f>ведомство!G1535</f>
        <v>230</v>
      </c>
      <c r="E1974" s="9">
        <f>ведомство!H1535</f>
        <v>230</v>
      </c>
      <c r="F1974" s="9">
        <f>ведомство!I1535</f>
        <v>172.1</v>
      </c>
      <c r="G1974" s="9">
        <f>ведомство!J1535</f>
        <v>112.3</v>
      </c>
      <c r="H1974" s="9">
        <f>ведомство!K1535</f>
        <v>109.37</v>
      </c>
      <c r="I1974" s="9">
        <f t="shared" si="1049"/>
        <v>47.552173913043482</v>
      </c>
      <c r="J1974" s="9">
        <f t="shared" si="1051"/>
        <v>63.550261475886117</v>
      </c>
    </row>
    <row r="1975" spans="1:10" ht="25.5">
      <c r="A1975" s="8" t="s">
        <v>64</v>
      </c>
      <c r="B1975" s="1" t="s">
        <v>618</v>
      </c>
      <c r="C1975" s="1" t="s">
        <v>65</v>
      </c>
      <c r="D1975" s="9">
        <f>D1976</f>
        <v>475</v>
      </c>
      <c r="E1975" s="9">
        <f>E1976</f>
        <v>475</v>
      </c>
      <c r="F1975" s="9">
        <f t="shared" ref="F1975:G1975" si="1076">F1976</f>
        <v>255</v>
      </c>
      <c r="G1975" s="9">
        <f t="shared" si="1076"/>
        <v>176.15</v>
      </c>
      <c r="H1975" s="9">
        <f>H1976</f>
        <v>175.24090000000001</v>
      </c>
      <c r="I1975" s="9">
        <f t="shared" si="1049"/>
        <v>36.892821052631582</v>
      </c>
      <c r="J1975" s="9">
        <f t="shared" si="1051"/>
        <v>68.721921568627451</v>
      </c>
    </row>
    <row r="1976" spans="1:10" ht="25.5">
      <c r="A1976" s="8" t="s">
        <v>66</v>
      </c>
      <c r="B1976" s="1" t="s">
        <v>618</v>
      </c>
      <c r="C1976" s="1" t="s">
        <v>67</v>
      </c>
      <c r="D1976" s="9">
        <f>ведомство!G1537</f>
        <v>475</v>
      </c>
      <c r="E1976" s="9">
        <f>ведомство!H1537</f>
        <v>475</v>
      </c>
      <c r="F1976" s="9">
        <f>ведомство!I1537</f>
        <v>255</v>
      </c>
      <c r="G1976" s="9">
        <f>ведомство!J1537</f>
        <v>176.15</v>
      </c>
      <c r="H1976" s="9">
        <f>ведомство!K1537</f>
        <v>175.24090000000001</v>
      </c>
      <c r="I1976" s="9">
        <f t="shared" si="1049"/>
        <v>36.892821052631582</v>
      </c>
      <c r="J1976" s="9">
        <f t="shared" si="1051"/>
        <v>68.721921568627451</v>
      </c>
    </row>
    <row r="1977" spans="1:10" hidden="1">
      <c r="A1977" s="8" t="s">
        <v>68</v>
      </c>
      <c r="B1977" s="1" t="s">
        <v>618</v>
      </c>
      <c r="C1977" s="1" t="s">
        <v>69</v>
      </c>
      <c r="D1977" s="9">
        <f>D1978</f>
        <v>0</v>
      </c>
      <c r="E1977" s="9">
        <f>E1978</f>
        <v>0</v>
      </c>
      <c r="F1977" s="9">
        <f t="shared" ref="F1977:G1977" si="1077">F1978</f>
        <v>0</v>
      </c>
      <c r="G1977" s="9">
        <f t="shared" si="1077"/>
        <v>0</v>
      </c>
      <c r="H1977" s="9">
        <f>H1978</f>
        <v>0</v>
      </c>
      <c r="I1977" s="9">
        <v>0</v>
      </c>
      <c r="J1977" s="9">
        <v>0</v>
      </c>
    </row>
    <row r="1978" spans="1:10" hidden="1">
      <c r="A1978" s="8" t="s">
        <v>373</v>
      </c>
      <c r="B1978" s="1" t="s">
        <v>618</v>
      </c>
      <c r="C1978" s="1" t="s">
        <v>374</v>
      </c>
      <c r="D1978" s="9">
        <f>ведомство!G1539</f>
        <v>0</v>
      </c>
      <c r="E1978" s="9">
        <f>ведомство!H1539</f>
        <v>0</v>
      </c>
      <c r="F1978" s="9">
        <f>ведомство!I1539</f>
        <v>0</v>
      </c>
      <c r="G1978" s="9">
        <f>ведомство!J1539</f>
        <v>0</v>
      </c>
      <c r="H1978" s="9">
        <f>ведомство!K1539</f>
        <v>0</v>
      </c>
      <c r="I1978" s="9">
        <v>0</v>
      </c>
      <c r="J1978" s="9">
        <v>0</v>
      </c>
    </row>
    <row r="1979" spans="1:10" ht="25.5">
      <c r="A1979" s="8" t="s">
        <v>748</v>
      </c>
      <c r="B1979" s="1" t="s">
        <v>749</v>
      </c>
      <c r="C1979" s="1" t="s">
        <v>0</v>
      </c>
      <c r="D1979" s="9">
        <f>D1980</f>
        <v>100</v>
      </c>
      <c r="E1979" s="9">
        <f>E1980</f>
        <v>100</v>
      </c>
      <c r="F1979" s="9">
        <f t="shared" ref="F1979:G1980" si="1078">F1980</f>
        <v>0</v>
      </c>
      <c r="G1979" s="9">
        <f t="shared" si="1078"/>
        <v>0</v>
      </c>
      <c r="H1979" s="9">
        <f>H1980</f>
        <v>0</v>
      </c>
      <c r="I1979" s="9">
        <f t="shared" si="1049"/>
        <v>0</v>
      </c>
      <c r="J1979" s="9">
        <v>0</v>
      </c>
    </row>
    <row r="1980" spans="1:10" ht="25.5">
      <c r="A1980" s="8" t="s">
        <v>64</v>
      </c>
      <c r="B1980" s="1" t="s">
        <v>749</v>
      </c>
      <c r="C1980" s="1" t="s">
        <v>65</v>
      </c>
      <c r="D1980" s="9">
        <f>D1981</f>
        <v>100</v>
      </c>
      <c r="E1980" s="9">
        <f>E1981</f>
        <v>100</v>
      </c>
      <c r="F1980" s="9">
        <f t="shared" si="1078"/>
        <v>0</v>
      </c>
      <c r="G1980" s="9">
        <f t="shared" si="1078"/>
        <v>0</v>
      </c>
      <c r="H1980" s="9">
        <f>H1981</f>
        <v>0</v>
      </c>
      <c r="I1980" s="9">
        <f t="shared" si="1049"/>
        <v>0</v>
      </c>
      <c r="J1980" s="9">
        <v>0</v>
      </c>
    </row>
    <row r="1981" spans="1:10" ht="25.5">
      <c r="A1981" s="8" t="s">
        <v>66</v>
      </c>
      <c r="B1981" s="1" t="s">
        <v>749</v>
      </c>
      <c r="C1981" s="1" t="s">
        <v>67</v>
      </c>
      <c r="D1981" s="9">
        <f>ведомство!G1814</f>
        <v>100</v>
      </c>
      <c r="E1981" s="9">
        <f>ведомство!H1814</f>
        <v>100</v>
      </c>
      <c r="F1981" s="9">
        <f>ведомство!I1814</f>
        <v>0</v>
      </c>
      <c r="G1981" s="9">
        <f>ведомство!J1814</f>
        <v>0</v>
      </c>
      <c r="H1981" s="9">
        <f>ведомство!K1814</f>
        <v>0</v>
      </c>
      <c r="I1981" s="9">
        <f t="shared" si="1049"/>
        <v>0</v>
      </c>
      <c r="J1981" s="9">
        <v>0</v>
      </c>
    </row>
    <row r="1982" spans="1:10">
      <c r="A1982" s="4" t="s">
        <v>0</v>
      </c>
      <c r="B1982" s="17" t="s">
        <v>0</v>
      </c>
      <c r="C1982" s="5" t="s">
        <v>0</v>
      </c>
      <c r="D1982" s="7" t="s">
        <v>0</v>
      </c>
      <c r="E1982" s="7" t="s">
        <v>0</v>
      </c>
      <c r="F1982" s="7" t="s">
        <v>0</v>
      </c>
      <c r="G1982" s="7" t="s">
        <v>0</v>
      </c>
      <c r="H1982" s="7" t="s">
        <v>0</v>
      </c>
      <c r="I1982" s="7"/>
      <c r="J1982" s="7"/>
    </row>
    <row r="1983" spans="1:10" ht="25.5">
      <c r="A1983" s="4" t="s">
        <v>142</v>
      </c>
      <c r="B1983" s="5" t="s">
        <v>143</v>
      </c>
      <c r="C1983" s="5" t="s">
        <v>0</v>
      </c>
      <c r="D1983" s="7">
        <f>D1984+D1987+D1990</f>
        <v>2875</v>
      </c>
      <c r="E1983" s="7">
        <f>E1984+E1987+E1990</f>
        <v>2875</v>
      </c>
      <c r="F1983" s="7">
        <f t="shared" ref="F1983:G1983" si="1079">F1984+F1987+F1990</f>
        <v>805</v>
      </c>
      <c r="G1983" s="7">
        <f t="shared" si="1079"/>
        <v>805</v>
      </c>
      <c r="H1983" s="7">
        <f>H1984+H1987+H1990</f>
        <v>805</v>
      </c>
      <c r="I1983" s="7">
        <f t="shared" si="1049"/>
        <v>28.000000000000004</v>
      </c>
      <c r="J1983" s="7">
        <f t="shared" si="1051"/>
        <v>100</v>
      </c>
    </row>
    <row r="1984" spans="1:10" ht="25.5">
      <c r="A1984" s="8" t="s">
        <v>76</v>
      </c>
      <c r="B1984" s="1" t="s">
        <v>287</v>
      </c>
      <c r="C1984" s="1" t="s">
        <v>0</v>
      </c>
      <c r="D1984" s="9">
        <f>D1985</f>
        <v>165</v>
      </c>
      <c r="E1984" s="9">
        <f>E1985</f>
        <v>165</v>
      </c>
      <c r="F1984" s="9">
        <f t="shared" ref="F1984:G1985" si="1080">F1985</f>
        <v>165</v>
      </c>
      <c r="G1984" s="9">
        <f t="shared" si="1080"/>
        <v>165</v>
      </c>
      <c r="H1984" s="9">
        <f>H1985</f>
        <v>165</v>
      </c>
      <c r="I1984" s="9">
        <f t="shared" si="1049"/>
        <v>100</v>
      </c>
      <c r="J1984" s="9">
        <f t="shared" si="1051"/>
        <v>100</v>
      </c>
    </row>
    <row r="1985" spans="1:10" ht="25.5">
      <c r="A1985" s="8" t="s">
        <v>80</v>
      </c>
      <c r="B1985" s="1" t="s">
        <v>287</v>
      </c>
      <c r="C1985" s="1" t="s">
        <v>81</v>
      </c>
      <c r="D1985" s="9">
        <f>D1986</f>
        <v>165</v>
      </c>
      <c r="E1985" s="9">
        <f>E1986</f>
        <v>165</v>
      </c>
      <c r="F1985" s="9">
        <f t="shared" si="1080"/>
        <v>165</v>
      </c>
      <c r="G1985" s="9">
        <f t="shared" si="1080"/>
        <v>165</v>
      </c>
      <c r="H1985" s="9">
        <f>H1986</f>
        <v>165</v>
      </c>
      <c r="I1985" s="9">
        <f t="shared" si="1049"/>
        <v>100</v>
      </c>
      <c r="J1985" s="9">
        <f t="shared" si="1051"/>
        <v>100</v>
      </c>
    </row>
    <row r="1986" spans="1:10">
      <c r="A1986" s="8" t="s">
        <v>82</v>
      </c>
      <c r="B1986" s="1" t="s">
        <v>287</v>
      </c>
      <c r="C1986" s="1" t="s">
        <v>83</v>
      </c>
      <c r="D1986" s="9">
        <f>ведомство!G507+ведомство!G517</f>
        <v>165</v>
      </c>
      <c r="E1986" s="9">
        <f>ведомство!H507+ведомство!H517</f>
        <v>165</v>
      </c>
      <c r="F1986" s="9">
        <f>ведомство!I507+ведомство!I517</f>
        <v>165</v>
      </c>
      <c r="G1986" s="9">
        <f>ведомство!J507+ведомство!J517</f>
        <v>165</v>
      </c>
      <c r="H1986" s="9">
        <f>ведомство!K507+ведомство!K517</f>
        <v>165</v>
      </c>
      <c r="I1986" s="9">
        <f t="shared" si="1049"/>
        <v>100</v>
      </c>
      <c r="J1986" s="9">
        <f t="shared" si="1051"/>
        <v>100</v>
      </c>
    </row>
    <row r="1987" spans="1:10" ht="38.25">
      <c r="A1987" s="8" t="s">
        <v>37</v>
      </c>
      <c r="B1987" s="1" t="s">
        <v>144</v>
      </c>
      <c r="C1987" s="1" t="s">
        <v>0</v>
      </c>
      <c r="D1987" s="9">
        <f>D1988</f>
        <v>0</v>
      </c>
      <c r="E1987" s="9">
        <f>E1988</f>
        <v>0</v>
      </c>
      <c r="F1987" s="9">
        <f t="shared" ref="F1987:G1988" si="1081">F1988</f>
        <v>0</v>
      </c>
      <c r="G1987" s="9">
        <f t="shared" si="1081"/>
        <v>0</v>
      </c>
      <c r="H1987" s="9">
        <f>H1988</f>
        <v>0</v>
      </c>
      <c r="I1987" s="9">
        <v>0</v>
      </c>
      <c r="J1987" s="9">
        <v>0</v>
      </c>
    </row>
    <row r="1988" spans="1:10">
      <c r="A1988" s="8" t="s">
        <v>72</v>
      </c>
      <c r="B1988" s="1" t="s">
        <v>144</v>
      </c>
      <c r="C1988" s="1" t="s">
        <v>73</v>
      </c>
      <c r="D1988" s="9">
        <f>D1989</f>
        <v>0</v>
      </c>
      <c r="E1988" s="9">
        <f>E1989</f>
        <v>0</v>
      </c>
      <c r="F1988" s="9">
        <f t="shared" si="1081"/>
        <v>0</v>
      </c>
      <c r="G1988" s="9">
        <f t="shared" si="1081"/>
        <v>0</v>
      </c>
      <c r="H1988" s="9">
        <f>H1989</f>
        <v>0</v>
      </c>
      <c r="I1988" s="9">
        <v>0</v>
      </c>
      <c r="J1988" s="9">
        <v>0</v>
      </c>
    </row>
    <row r="1989" spans="1:10">
      <c r="A1989" s="8" t="s">
        <v>145</v>
      </c>
      <c r="B1989" s="1" t="s">
        <v>144</v>
      </c>
      <c r="C1989" s="1" t="s">
        <v>146</v>
      </c>
      <c r="D1989" s="9">
        <f>ведомство!G200</f>
        <v>0</v>
      </c>
      <c r="E1989" s="9">
        <f>ведомство!H200</f>
        <v>0</v>
      </c>
      <c r="F1989" s="9">
        <f>ведомство!I200</f>
        <v>0</v>
      </c>
      <c r="G1989" s="9">
        <f>ведомство!J200</f>
        <v>0</v>
      </c>
      <c r="H1989" s="9">
        <f>ведомство!K200</f>
        <v>0</v>
      </c>
      <c r="I1989" s="9">
        <v>0</v>
      </c>
      <c r="J1989" s="9">
        <v>0</v>
      </c>
    </row>
    <row r="1990" spans="1:10">
      <c r="A1990" s="8" t="s">
        <v>303</v>
      </c>
      <c r="B1990" s="1" t="s">
        <v>345</v>
      </c>
      <c r="C1990" s="1" t="s">
        <v>0</v>
      </c>
      <c r="D1990" s="9">
        <f>D1991+D1993</f>
        <v>2710</v>
      </c>
      <c r="E1990" s="9">
        <f>E1991+E1993</f>
        <v>2710</v>
      </c>
      <c r="F1990" s="9">
        <f t="shared" ref="F1990:G1990" si="1082">F1991+F1993</f>
        <v>640</v>
      </c>
      <c r="G1990" s="9">
        <f t="shared" si="1082"/>
        <v>640</v>
      </c>
      <c r="H1990" s="9">
        <f>H1991+H1993</f>
        <v>640</v>
      </c>
      <c r="I1990" s="9">
        <f t="shared" ref="I1990:I2060" si="1083">H1990/E1990*100</f>
        <v>23.616236162361623</v>
      </c>
      <c r="J1990" s="9">
        <f t="shared" ref="J1990:J2060" si="1084">H1990/F1990*100</f>
        <v>100</v>
      </c>
    </row>
    <row r="1991" spans="1:10">
      <c r="A1991" s="8" t="s">
        <v>68</v>
      </c>
      <c r="B1991" s="1" t="s">
        <v>345</v>
      </c>
      <c r="C1991" s="1" t="s">
        <v>69</v>
      </c>
      <c r="D1991" s="9">
        <f>D1992</f>
        <v>1750</v>
      </c>
      <c r="E1991" s="9">
        <f>E1992</f>
        <v>1750</v>
      </c>
      <c r="F1991" s="9">
        <f t="shared" ref="F1991:G1991" si="1085">F1992</f>
        <v>0</v>
      </c>
      <c r="G1991" s="9">
        <f t="shared" si="1085"/>
        <v>0</v>
      </c>
      <c r="H1991" s="9">
        <f>H1992</f>
        <v>0</v>
      </c>
      <c r="I1991" s="9">
        <f t="shared" si="1083"/>
        <v>0</v>
      </c>
      <c r="J1991" s="9">
        <v>0</v>
      </c>
    </row>
    <row r="1992" spans="1:10">
      <c r="A1992" s="8" t="s">
        <v>70</v>
      </c>
      <c r="B1992" s="1" t="s">
        <v>345</v>
      </c>
      <c r="C1992" s="1" t="s">
        <v>71</v>
      </c>
      <c r="D1992" s="9">
        <f>ведомство!G739</f>
        <v>1750</v>
      </c>
      <c r="E1992" s="9">
        <f>ведомство!H739</f>
        <v>1750</v>
      </c>
      <c r="F1992" s="9">
        <f>ведомство!I739</f>
        <v>0</v>
      </c>
      <c r="G1992" s="9">
        <f>ведомство!J739</f>
        <v>0</v>
      </c>
      <c r="H1992" s="9">
        <f>ведомство!K739</f>
        <v>0</v>
      </c>
      <c r="I1992" s="9">
        <f t="shared" si="1083"/>
        <v>0</v>
      </c>
      <c r="J1992" s="9">
        <v>0</v>
      </c>
    </row>
    <row r="1993" spans="1:10" ht="25.5">
      <c r="A1993" s="8" t="s">
        <v>80</v>
      </c>
      <c r="B1993" s="1" t="s">
        <v>345</v>
      </c>
      <c r="C1993" s="1" t="s">
        <v>81</v>
      </c>
      <c r="D1993" s="9">
        <f>D1994</f>
        <v>960</v>
      </c>
      <c r="E1993" s="9">
        <f>E1994</f>
        <v>960</v>
      </c>
      <c r="F1993" s="9">
        <f t="shared" ref="F1993:G1993" si="1086">F1994</f>
        <v>640</v>
      </c>
      <c r="G1993" s="9">
        <f t="shared" si="1086"/>
        <v>640</v>
      </c>
      <c r="H1993" s="9">
        <f>H1994</f>
        <v>640</v>
      </c>
      <c r="I1993" s="9">
        <f t="shared" si="1083"/>
        <v>66.666666666666657</v>
      </c>
      <c r="J1993" s="9">
        <f t="shared" si="1084"/>
        <v>100</v>
      </c>
    </row>
    <row r="1994" spans="1:10">
      <c r="A1994" s="8" t="s">
        <v>271</v>
      </c>
      <c r="B1994" s="1" t="s">
        <v>345</v>
      </c>
      <c r="C1994" s="1" t="s">
        <v>272</v>
      </c>
      <c r="D1994" s="9">
        <f>ведомство!G741</f>
        <v>960</v>
      </c>
      <c r="E1994" s="9">
        <f>ведомство!H741</f>
        <v>960</v>
      </c>
      <c r="F1994" s="9">
        <f>ведомство!I741</f>
        <v>640</v>
      </c>
      <c r="G1994" s="9">
        <f>ведомство!J741</f>
        <v>640</v>
      </c>
      <c r="H1994" s="9">
        <f>ведомство!K741</f>
        <v>640</v>
      </c>
      <c r="I1994" s="9">
        <f t="shared" si="1083"/>
        <v>66.666666666666657</v>
      </c>
      <c r="J1994" s="9">
        <f t="shared" si="1084"/>
        <v>100</v>
      </c>
    </row>
    <row r="1995" spans="1:10" s="88" customFormat="1">
      <c r="A1995" s="8"/>
      <c r="B1995" s="1"/>
      <c r="C1995" s="1"/>
      <c r="D1995" s="9"/>
      <c r="E1995" s="9"/>
      <c r="F1995" s="9"/>
      <c r="G1995" s="9"/>
      <c r="H1995" s="9"/>
      <c r="I1995" s="9"/>
      <c r="J1995" s="9"/>
    </row>
    <row r="1996" spans="1:10" s="88" customFormat="1" ht="84.75" customHeight="1">
      <c r="A1996" s="34" t="s">
        <v>1248</v>
      </c>
      <c r="B1996" s="33" t="s">
        <v>1245</v>
      </c>
      <c r="C1996" s="1"/>
      <c r="D1996" s="23">
        <f>D1997+D2000</f>
        <v>2907</v>
      </c>
      <c r="E1996" s="23">
        <f t="shared" ref="E1996" si="1087">E1997+E2000</f>
        <v>2907</v>
      </c>
      <c r="F1996" s="23">
        <f t="shared" ref="F1996:H1996" si="1088">F1997+F2000</f>
        <v>2907</v>
      </c>
      <c r="G1996" s="23">
        <f t="shared" si="1088"/>
        <v>2907</v>
      </c>
      <c r="H1996" s="23">
        <f t="shared" si="1088"/>
        <v>2907</v>
      </c>
      <c r="I1996" s="23">
        <f t="shared" ref="I1996:I2002" si="1089">H1996/E1996*100</f>
        <v>100</v>
      </c>
      <c r="J1996" s="23">
        <f t="shared" ref="J1996:J2002" si="1090">H1996/F1996*100</f>
        <v>100</v>
      </c>
    </row>
    <row r="1997" spans="1:10" s="88" customFormat="1" ht="25.5">
      <c r="A1997" s="59" t="s">
        <v>76</v>
      </c>
      <c r="B1997" s="29" t="s">
        <v>1246</v>
      </c>
      <c r="C1997" s="28"/>
      <c r="D1997" s="9">
        <f>D1998</f>
        <v>2834.8</v>
      </c>
      <c r="E1997" s="9">
        <f t="shared" ref="E1997:H1998" si="1091">E1998</f>
        <v>2834.8</v>
      </c>
      <c r="F1997" s="9">
        <f t="shared" si="1091"/>
        <v>2834.8</v>
      </c>
      <c r="G1997" s="9">
        <f t="shared" si="1091"/>
        <v>2834.8</v>
      </c>
      <c r="H1997" s="9">
        <f t="shared" si="1091"/>
        <v>2834.8</v>
      </c>
      <c r="I1997" s="9">
        <f t="shared" si="1089"/>
        <v>100</v>
      </c>
      <c r="J1997" s="9">
        <f t="shared" si="1090"/>
        <v>100</v>
      </c>
    </row>
    <row r="1998" spans="1:10" s="88" customFormat="1" ht="25.5">
      <c r="A1998" s="59" t="s">
        <v>80</v>
      </c>
      <c r="B1998" s="29" t="s">
        <v>1246</v>
      </c>
      <c r="C1998" s="28">
        <v>600</v>
      </c>
      <c r="D1998" s="9">
        <f>D1999</f>
        <v>2834.8</v>
      </c>
      <c r="E1998" s="9">
        <f t="shared" si="1091"/>
        <v>2834.8</v>
      </c>
      <c r="F1998" s="9">
        <f t="shared" si="1091"/>
        <v>2834.8</v>
      </c>
      <c r="G1998" s="9">
        <f t="shared" si="1091"/>
        <v>2834.8</v>
      </c>
      <c r="H1998" s="9">
        <f t="shared" si="1091"/>
        <v>2834.8</v>
      </c>
      <c r="I1998" s="9">
        <f t="shared" si="1089"/>
        <v>100</v>
      </c>
      <c r="J1998" s="9">
        <f t="shared" si="1090"/>
        <v>100</v>
      </c>
    </row>
    <row r="1999" spans="1:10" s="88" customFormat="1">
      <c r="A1999" s="59" t="s">
        <v>271</v>
      </c>
      <c r="B1999" s="29" t="s">
        <v>1246</v>
      </c>
      <c r="C1999" s="28">
        <v>610</v>
      </c>
      <c r="D1999" s="9">
        <f>ведомство!G1952</f>
        <v>2834.8</v>
      </c>
      <c r="E1999" s="9">
        <f>ведомство!H1952</f>
        <v>2834.8</v>
      </c>
      <c r="F1999" s="9">
        <f>ведомство!I1952</f>
        <v>2834.8</v>
      </c>
      <c r="G1999" s="9">
        <f>ведомство!J1952</f>
        <v>2834.8</v>
      </c>
      <c r="H1999" s="9">
        <f>ведомство!K1952</f>
        <v>2834.8</v>
      </c>
      <c r="I1999" s="9">
        <f t="shared" si="1089"/>
        <v>100</v>
      </c>
      <c r="J1999" s="9">
        <f t="shared" si="1090"/>
        <v>100</v>
      </c>
    </row>
    <row r="2000" spans="1:10" s="88" customFormat="1" ht="25.5">
      <c r="A2000" s="59" t="s">
        <v>1249</v>
      </c>
      <c r="B2000" s="29" t="s">
        <v>1247</v>
      </c>
      <c r="C2000" s="28"/>
      <c r="D2000" s="9">
        <f>D2001</f>
        <v>72.2</v>
      </c>
      <c r="E2000" s="9">
        <f t="shared" ref="E2000:H2001" si="1092">E2001</f>
        <v>72.2</v>
      </c>
      <c r="F2000" s="9">
        <f t="shared" si="1092"/>
        <v>72.2</v>
      </c>
      <c r="G2000" s="9">
        <f t="shared" si="1092"/>
        <v>72.2</v>
      </c>
      <c r="H2000" s="9">
        <f t="shared" si="1092"/>
        <v>72.2</v>
      </c>
      <c r="I2000" s="9">
        <f t="shared" si="1089"/>
        <v>100</v>
      </c>
      <c r="J2000" s="9">
        <f t="shared" si="1090"/>
        <v>100</v>
      </c>
    </row>
    <row r="2001" spans="1:10" s="88" customFormat="1" ht="25.5">
      <c r="A2001" s="59" t="s">
        <v>80</v>
      </c>
      <c r="B2001" s="29" t="s">
        <v>1247</v>
      </c>
      <c r="C2001" s="28">
        <v>600</v>
      </c>
      <c r="D2001" s="22">
        <f>D2002</f>
        <v>72.2</v>
      </c>
      <c r="E2001" s="22">
        <f t="shared" si="1092"/>
        <v>72.2</v>
      </c>
      <c r="F2001" s="22">
        <f t="shared" si="1092"/>
        <v>72.2</v>
      </c>
      <c r="G2001" s="22">
        <f t="shared" si="1092"/>
        <v>72.2</v>
      </c>
      <c r="H2001" s="22">
        <f t="shared" si="1092"/>
        <v>72.2</v>
      </c>
      <c r="I2001" s="9">
        <f t="shared" si="1089"/>
        <v>100</v>
      </c>
      <c r="J2001" s="9">
        <f t="shared" si="1090"/>
        <v>100</v>
      </c>
    </row>
    <row r="2002" spans="1:10" s="88" customFormat="1">
      <c r="A2002" s="59" t="s">
        <v>271</v>
      </c>
      <c r="B2002" s="29" t="s">
        <v>1247</v>
      </c>
      <c r="C2002" s="28">
        <v>610</v>
      </c>
      <c r="D2002" s="9">
        <f>ведомство!G1955</f>
        <v>72.2</v>
      </c>
      <c r="E2002" s="9">
        <f>ведомство!H1955</f>
        <v>72.2</v>
      </c>
      <c r="F2002" s="9">
        <f>ведомство!I1955</f>
        <v>72.2</v>
      </c>
      <c r="G2002" s="9">
        <f>ведомство!J1955</f>
        <v>72.2</v>
      </c>
      <c r="H2002" s="9">
        <f>ведомство!K1955</f>
        <v>72.2</v>
      </c>
      <c r="I2002" s="9">
        <f t="shared" si="1089"/>
        <v>100</v>
      </c>
      <c r="J2002" s="9">
        <f t="shared" si="1090"/>
        <v>100</v>
      </c>
    </row>
    <row r="2003" spans="1:10" s="88" customFormat="1">
      <c r="A2003" s="8"/>
      <c r="B2003" s="1"/>
      <c r="C2003" s="1"/>
      <c r="D2003" s="9"/>
      <c r="E2003" s="9"/>
      <c r="F2003" s="9"/>
      <c r="G2003" s="9"/>
      <c r="H2003" s="9"/>
      <c r="I2003" s="9"/>
      <c r="J2003" s="9"/>
    </row>
    <row r="2004" spans="1:10" ht="38.25">
      <c r="A2004" s="4" t="s">
        <v>208</v>
      </c>
      <c r="B2004" s="5" t="s">
        <v>209</v>
      </c>
      <c r="C2004" s="5" t="s">
        <v>0</v>
      </c>
      <c r="D2004" s="7">
        <f t="shared" ref="D2004:H2006" si="1093">D2005</f>
        <v>41157</v>
      </c>
      <c r="E2004" s="7">
        <f t="shared" si="1093"/>
        <v>41157</v>
      </c>
      <c r="F2004" s="7">
        <f t="shared" si="1093"/>
        <v>0</v>
      </c>
      <c r="G2004" s="7">
        <f t="shared" si="1093"/>
        <v>0</v>
      </c>
      <c r="H2004" s="7">
        <f t="shared" si="1093"/>
        <v>0</v>
      </c>
      <c r="I2004" s="7">
        <f t="shared" si="1083"/>
        <v>0</v>
      </c>
      <c r="J2004" s="7">
        <v>0</v>
      </c>
    </row>
    <row r="2005" spans="1:10" ht="25.5">
      <c r="A2005" s="8" t="s">
        <v>199</v>
      </c>
      <c r="B2005" s="1" t="s">
        <v>210</v>
      </c>
      <c r="C2005" s="1" t="s">
        <v>0</v>
      </c>
      <c r="D2005" s="9">
        <f t="shared" si="1093"/>
        <v>41157</v>
      </c>
      <c r="E2005" s="9">
        <f t="shared" si="1093"/>
        <v>41157</v>
      </c>
      <c r="F2005" s="9">
        <f t="shared" si="1093"/>
        <v>0</v>
      </c>
      <c r="G2005" s="9">
        <f t="shared" si="1093"/>
        <v>0</v>
      </c>
      <c r="H2005" s="9">
        <f t="shared" si="1093"/>
        <v>0</v>
      </c>
      <c r="I2005" s="9">
        <f t="shared" si="1083"/>
        <v>0</v>
      </c>
      <c r="J2005" s="9">
        <v>0</v>
      </c>
    </row>
    <row r="2006" spans="1:10" ht="25.5">
      <c r="A2006" s="8" t="s">
        <v>80</v>
      </c>
      <c r="B2006" s="1" t="s">
        <v>210</v>
      </c>
      <c r="C2006" s="1" t="s">
        <v>81</v>
      </c>
      <c r="D2006" s="9">
        <f t="shared" si="1093"/>
        <v>41157</v>
      </c>
      <c r="E2006" s="9">
        <f t="shared" si="1093"/>
        <v>41157</v>
      </c>
      <c r="F2006" s="9">
        <f t="shared" si="1093"/>
        <v>0</v>
      </c>
      <c r="G2006" s="9">
        <f t="shared" si="1093"/>
        <v>0</v>
      </c>
      <c r="H2006" s="9">
        <f t="shared" si="1093"/>
        <v>0</v>
      </c>
      <c r="I2006" s="9">
        <f t="shared" si="1083"/>
        <v>0</v>
      </c>
      <c r="J2006" s="9">
        <v>0</v>
      </c>
    </row>
    <row r="2007" spans="1:10" ht="25.5">
      <c r="A2007" s="8" t="s">
        <v>195</v>
      </c>
      <c r="B2007" s="1" t="s">
        <v>210</v>
      </c>
      <c r="C2007" s="1" t="s">
        <v>196</v>
      </c>
      <c r="D2007" s="9">
        <f>ведомство!G319</f>
        <v>41157</v>
      </c>
      <c r="E2007" s="9">
        <f>ведомство!H319</f>
        <v>41157</v>
      </c>
      <c r="F2007" s="9">
        <f>ведомство!I319</f>
        <v>0</v>
      </c>
      <c r="G2007" s="9">
        <f>ведомство!J319</f>
        <v>0</v>
      </c>
      <c r="H2007" s="9">
        <f>ведомство!K319</f>
        <v>0</v>
      </c>
      <c r="I2007" s="9">
        <f t="shared" si="1083"/>
        <v>0</v>
      </c>
      <c r="J2007" s="9">
        <v>0</v>
      </c>
    </row>
    <row r="2008" spans="1:10" ht="15.75">
      <c r="A2008" s="18" t="s">
        <v>0</v>
      </c>
      <c r="B2008" s="19" t="s">
        <v>0</v>
      </c>
      <c r="C2008" s="19" t="s">
        <v>0</v>
      </c>
      <c r="D2008" s="20" t="s">
        <v>0</v>
      </c>
      <c r="E2008" s="20" t="s">
        <v>0</v>
      </c>
      <c r="F2008" s="20" t="s">
        <v>0</v>
      </c>
      <c r="G2008" s="20" t="s">
        <v>0</v>
      </c>
      <c r="H2008" s="20" t="s">
        <v>0</v>
      </c>
      <c r="I2008" s="20"/>
      <c r="J2008" s="20"/>
    </row>
    <row r="2009" spans="1:10">
      <c r="A2009" s="4" t="s">
        <v>1105</v>
      </c>
      <c r="B2009" s="1" t="s">
        <v>0</v>
      </c>
      <c r="C2009" s="1" t="s">
        <v>0</v>
      </c>
      <c r="D2009" s="7">
        <f>D2011+D2022+D2046+D2071+D2081+D2104+D2123+D2133+D2145+D2090</f>
        <v>1276853.8</v>
      </c>
      <c r="E2009" s="7">
        <f>E2011+E2022+E2046+E2071+E2081+E2104+E2123+E2133+E2145+E2090+E2150</f>
        <v>1289025.4616100001</v>
      </c>
      <c r="F2009" s="7">
        <f t="shared" ref="F2009:G2009" si="1094">F2011+F2022+F2046+F2071+F2081+F2104+F2123+F2133+F2145+F2090+F2150</f>
        <v>692184.9453100001</v>
      </c>
      <c r="G2009" s="7">
        <f t="shared" si="1094"/>
        <v>679749.95498000004</v>
      </c>
      <c r="H2009" s="7">
        <f>H2011+H2022+H2046+H2071+H2081+H2104+H2123+H2133+H2145+H2090+H2150</f>
        <v>645178.38998000009</v>
      </c>
      <c r="I2009" s="7">
        <f t="shared" si="1083"/>
        <v>50.051640498564595</v>
      </c>
      <c r="J2009" s="7">
        <f t="shared" si="1084"/>
        <v>93.208960170471812</v>
      </c>
    </row>
    <row r="2010" spans="1:10">
      <c r="A2010" s="4" t="s">
        <v>0</v>
      </c>
      <c r="B2010" s="17" t="s">
        <v>0</v>
      </c>
      <c r="C2010" s="5" t="s">
        <v>0</v>
      </c>
      <c r="D2010" s="7" t="s">
        <v>0</v>
      </c>
      <c r="E2010" s="7" t="s">
        <v>0</v>
      </c>
      <c r="F2010" s="7" t="s">
        <v>0</v>
      </c>
      <c r="G2010" s="7" t="s">
        <v>0</v>
      </c>
      <c r="H2010" s="7" t="s">
        <v>0</v>
      </c>
      <c r="I2010" s="7"/>
      <c r="J2010" s="7"/>
    </row>
    <row r="2011" spans="1:10" ht="38.25">
      <c r="A2011" s="4" t="s">
        <v>942</v>
      </c>
      <c r="B2011" s="5" t="s">
        <v>943</v>
      </c>
      <c r="C2011" s="5" t="s">
        <v>0</v>
      </c>
      <c r="D2011" s="7">
        <f>D2012+D2017</f>
        <v>24825.5</v>
      </c>
      <c r="E2011" s="7">
        <f>E2012+E2017</f>
        <v>24825.5</v>
      </c>
      <c r="F2011" s="7">
        <f t="shared" ref="F2011:G2011" si="1095">F2012+F2017</f>
        <v>19095</v>
      </c>
      <c r="G2011" s="7">
        <f t="shared" si="1095"/>
        <v>19095</v>
      </c>
      <c r="H2011" s="7">
        <f>H2012+H2017</f>
        <v>18580.746200000001</v>
      </c>
      <c r="I2011" s="7">
        <f t="shared" si="1083"/>
        <v>74.845405732009425</v>
      </c>
      <c r="J2011" s="7">
        <f t="shared" si="1084"/>
        <v>97.306866719036407</v>
      </c>
    </row>
    <row r="2012" spans="1:10">
      <c r="A2012" s="4" t="s">
        <v>944</v>
      </c>
      <c r="B2012" s="5" t="s">
        <v>945</v>
      </c>
      <c r="C2012" s="5" t="s">
        <v>0</v>
      </c>
      <c r="D2012" s="7">
        <f t="shared" ref="D2012:H2014" si="1096">D2013</f>
        <v>4310.5</v>
      </c>
      <c r="E2012" s="7">
        <f t="shared" si="1096"/>
        <v>4310.5</v>
      </c>
      <c r="F2012" s="7">
        <f t="shared" si="1096"/>
        <v>3929</v>
      </c>
      <c r="G2012" s="7">
        <f t="shared" si="1096"/>
        <v>3929</v>
      </c>
      <c r="H2012" s="7">
        <f t="shared" si="1096"/>
        <v>3680.5896400000001</v>
      </c>
      <c r="I2012" s="7">
        <f t="shared" si="1083"/>
        <v>85.386605730193722</v>
      </c>
      <c r="J2012" s="7">
        <f t="shared" si="1084"/>
        <v>93.677516925426318</v>
      </c>
    </row>
    <row r="2013" spans="1:10" ht="25.5">
      <c r="A2013" s="8" t="s">
        <v>58</v>
      </c>
      <c r="B2013" s="1" t="s">
        <v>946</v>
      </c>
      <c r="C2013" s="1" t="s">
        <v>0</v>
      </c>
      <c r="D2013" s="9">
        <f t="shared" si="1096"/>
        <v>4310.5</v>
      </c>
      <c r="E2013" s="9">
        <f t="shared" si="1096"/>
        <v>4310.5</v>
      </c>
      <c r="F2013" s="9">
        <f t="shared" si="1096"/>
        <v>3929</v>
      </c>
      <c r="G2013" s="9">
        <f t="shared" si="1096"/>
        <v>3929</v>
      </c>
      <c r="H2013" s="9">
        <f t="shared" si="1096"/>
        <v>3680.5896400000001</v>
      </c>
      <c r="I2013" s="9">
        <f t="shared" si="1083"/>
        <v>85.386605730193722</v>
      </c>
      <c r="J2013" s="9">
        <f t="shared" si="1084"/>
        <v>93.677516925426318</v>
      </c>
    </row>
    <row r="2014" spans="1:10" ht="51">
      <c r="A2014" s="8" t="s">
        <v>60</v>
      </c>
      <c r="B2014" s="1" t="s">
        <v>946</v>
      </c>
      <c r="C2014" s="1" t="s">
        <v>61</v>
      </c>
      <c r="D2014" s="9">
        <f t="shared" si="1096"/>
        <v>4310.5</v>
      </c>
      <c r="E2014" s="9">
        <f t="shared" si="1096"/>
        <v>4310.5</v>
      </c>
      <c r="F2014" s="9">
        <f t="shared" si="1096"/>
        <v>3929</v>
      </c>
      <c r="G2014" s="9">
        <f t="shared" si="1096"/>
        <v>3929</v>
      </c>
      <c r="H2014" s="9">
        <f t="shared" si="1096"/>
        <v>3680.5896400000001</v>
      </c>
      <c r="I2014" s="9">
        <f t="shared" si="1083"/>
        <v>85.386605730193722</v>
      </c>
      <c r="J2014" s="9">
        <f t="shared" si="1084"/>
        <v>93.677516925426318</v>
      </c>
    </row>
    <row r="2015" spans="1:10" ht="25.5">
      <c r="A2015" s="8" t="s">
        <v>62</v>
      </c>
      <c r="B2015" s="1" t="s">
        <v>946</v>
      </c>
      <c r="C2015" s="1" t="s">
        <v>63</v>
      </c>
      <c r="D2015" s="9">
        <f>ведомство!G2444</f>
        <v>4310.5</v>
      </c>
      <c r="E2015" s="9">
        <f>ведомство!H2444</f>
        <v>4310.5</v>
      </c>
      <c r="F2015" s="9">
        <f>ведомство!I2444</f>
        <v>3929</v>
      </c>
      <c r="G2015" s="9">
        <f>ведомство!J2444</f>
        <v>3929</v>
      </c>
      <c r="H2015" s="9">
        <f>ведомство!K2444</f>
        <v>3680.5896400000001</v>
      </c>
      <c r="I2015" s="9">
        <f t="shared" si="1083"/>
        <v>85.386605730193722</v>
      </c>
      <c r="J2015" s="9">
        <f t="shared" si="1084"/>
        <v>93.677516925426318</v>
      </c>
    </row>
    <row r="2016" spans="1:10">
      <c r="A2016" s="4" t="s">
        <v>0</v>
      </c>
      <c r="B2016" s="17" t="s">
        <v>0</v>
      </c>
      <c r="C2016" s="5" t="s">
        <v>0</v>
      </c>
      <c r="D2016" s="7" t="s">
        <v>0</v>
      </c>
      <c r="E2016" s="7" t="s">
        <v>0</v>
      </c>
      <c r="F2016" s="7" t="s">
        <v>0</v>
      </c>
      <c r="G2016" s="7" t="s">
        <v>0</v>
      </c>
      <c r="H2016" s="7" t="s">
        <v>0</v>
      </c>
      <c r="I2016" s="7"/>
      <c r="J2016" s="7"/>
    </row>
    <row r="2017" spans="1:10" ht="25.5">
      <c r="A2017" s="4" t="s">
        <v>948</v>
      </c>
      <c r="B2017" s="5" t="s">
        <v>949</v>
      </c>
      <c r="C2017" s="5" t="s">
        <v>0</v>
      </c>
      <c r="D2017" s="7">
        <f t="shared" ref="D2017:H2019" si="1097">D2018</f>
        <v>20515</v>
      </c>
      <c r="E2017" s="7">
        <f t="shared" si="1097"/>
        <v>20515</v>
      </c>
      <c r="F2017" s="7">
        <f t="shared" si="1097"/>
        <v>15166</v>
      </c>
      <c r="G2017" s="7">
        <f t="shared" si="1097"/>
        <v>15166</v>
      </c>
      <c r="H2017" s="7">
        <f t="shared" si="1097"/>
        <v>14900.156559999999</v>
      </c>
      <c r="I2017" s="7">
        <f t="shared" si="1083"/>
        <v>72.630546234462585</v>
      </c>
      <c r="J2017" s="7">
        <f t="shared" si="1084"/>
        <v>98.247109059738889</v>
      </c>
    </row>
    <row r="2018" spans="1:10" ht="25.5">
      <c r="A2018" s="8" t="s">
        <v>58</v>
      </c>
      <c r="B2018" s="1" t="s">
        <v>950</v>
      </c>
      <c r="C2018" s="1" t="s">
        <v>0</v>
      </c>
      <c r="D2018" s="9">
        <f t="shared" si="1097"/>
        <v>20515</v>
      </c>
      <c r="E2018" s="9">
        <f t="shared" si="1097"/>
        <v>20515</v>
      </c>
      <c r="F2018" s="9">
        <f t="shared" si="1097"/>
        <v>15166</v>
      </c>
      <c r="G2018" s="9">
        <f t="shared" si="1097"/>
        <v>15166</v>
      </c>
      <c r="H2018" s="9">
        <f t="shared" si="1097"/>
        <v>14900.156559999999</v>
      </c>
      <c r="I2018" s="9">
        <f t="shared" si="1083"/>
        <v>72.630546234462585</v>
      </c>
      <c r="J2018" s="9">
        <f t="shared" si="1084"/>
        <v>98.247109059738889</v>
      </c>
    </row>
    <row r="2019" spans="1:10" ht="51">
      <c r="A2019" s="8" t="s">
        <v>60</v>
      </c>
      <c r="B2019" s="1" t="s">
        <v>950</v>
      </c>
      <c r="C2019" s="1" t="s">
        <v>61</v>
      </c>
      <c r="D2019" s="9">
        <f t="shared" si="1097"/>
        <v>20515</v>
      </c>
      <c r="E2019" s="9">
        <f t="shared" si="1097"/>
        <v>20515</v>
      </c>
      <c r="F2019" s="9">
        <f t="shared" si="1097"/>
        <v>15166</v>
      </c>
      <c r="G2019" s="9">
        <f t="shared" si="1097"/>
        <v>15166</v>
      </c>
      <c r="H2019" s="9">
        <f t="shared" si="1097"/>
        <v>14900.156559999999</v>
      </c>
      <c r="I2019" s="9">
        <f t="shared" si="1083"/>
        <v>72.630546234462585</v>
      </c>
      <c r="J2019" s="9">
        <f t="shared" si="1084"/>
        <v>98.247109059738889</v>
      </c>
    </row>
    <row r="2020" spans="1:10" ht="25.5">
      <c r="A2020" s="8" t="s">
        <v>62</v>
      </c>
      <c r="B2020" s="1" t="s">
        <v>950</v>
      </c>
      <c r="C2020" s="1" t="s">
        <v>63</v>
      </c>
      <c r="D2020" s="9">
        <f>ведомство!G2480</f>
        <v>20515</v>
      </c>
      <c r="E2020" s="9">
        <f>ведомство!H2480</f>
        <v>20515</v>
      </c>
      <c r="F2020" s="9">
        <f>ведомство!I2480</f>
        <v>15166</v>
      </c>
      <c r="G2020" s="9">
        <f>ведомство!J2480</f>
        <v>15166</v>
      </c>
      <c r="H2020" s="9">
        <f>ведомство!K2480</f>
        <v>14900.156559999999</v>
      </c>
      <c r="I2020" s="9">
        <f t="shared" si="1083"/>
        <v>72.630546234462585</v>
      </c>
      <c r="J2020" s="9">
        <f t="shared" si="1084"/>
        <v>98.247109059738889</v>
      </c>
    </row>
    <row r="2021" spans="1:10">
      <c r="A2021" s="4" t="s">
        <v>0</v>
      </c>
      <c r="B2021" s="17" t="s">
        <v>0</v>
      </c>
      <c r="C2021" s="5" t="s">
        <v>0</v>
      </c>
      <c r="D2021" s="7" t="s">
        <v>0</v>
      </c>
      <c r="E2021" s="7" t="s">
        <v>0</v>
      </c>
      <c r="F2021" s="7" t="s">
        <v>0</v>
      </c>
      <c r="G2021" s="7" t="s">
        <v>0</v>
      </c>
      <c r="H2021" s="7" t="s">
        <v>0</v>
      </c>
      <c r="I2021" s="7"/>
      <c r="J2021" s="7"/>
    </row>
    <row r="2022" spans="1:10" ht="25.5">
      <c r="A2022" s="4" t="s">
        <v>1034</v>
      </c>
      <c r="B2022" s="5" t="s">
        <v>1035</v>
      </c>
      <c r="C2022" s="5" t="s">
        <v>0</v>
      </c>
      <c r="D2022" s="7">
        <f>D2023+D2028+D2033</f>
        <v>185245.09999999998</v>
      </c>
      <c r="E2022" s="7">
        <f>E2023+E2028+E2033</f>
        <v>185062.70043999999</v>
      </c>
      <c r="F2022" s="7">
        <f t="shared" ref="F2022:G2022" si="1098">F2023+F2028+F2033</f>
        <v>140273.01594000001</v>
      </c>
      <c r="G2022" s="7">
        <f t="shared" si="1098"/>
        <v>138972.50439000002</v>
      </c>
      <c r="H2022" s="7">
        <f>H2023+H2028+H2033</f>
        <v>128339.93354000001</v>
      </c>
      <c r="I2022" s="7">
        <f t="shared" si="1083"/>
        <v>69.349433048832921</v>
      </c>
      <c r="J2022" s="7">
        <f t="shared" si="1084"/>
        <v>91.492959412019616</v>
      </c>
    </row>
    <row r="2023" spans="1:10">
      <c r="A2023" s="4" t="s">
        <v>1036</v>
      </c>
      <c r="B2023" s="5" t="s">
        <v>1037</v>
      </c>
      <c r="C2023" s="5" t="s">
        <v>0</v>
      </c>
      <c r="D2023" s="7">
        <f t="shared" ref="D2023:H2025" si="1099">D2024</f>
        <v>4540.8999999999996</v>
      </c>
      <c r="E2023" s="7">
        <f t="shared" si="1099"/>
        <v>4540.8999999999996</v>
      </c>
      <c r="F2023" s="7">
        <f t="shared" si="1099"/>
        <v>3529.6179999999999</v>
      </c>
      <c r="G2023" s="7">
        <f t="shared" si="1099"/>
        <v>3459.6179999999999</v>
      </c>
      <c r="H2023" s="7">
        <f t="shared" si="1099"/>
        <v>3412.2324600000002</v>
      </c>
      <c r="I2023" s="7">
        <f t="shared" si="1083"/>
        <v>75.144408817635281</v>
      </c>
      <c r="J2023" s="7">
        <f t="shared" si="1084"/>
        <v>96.674270700115429</v>
      </c>
    </row>
    <row r="2024" spans="1:10" ht="25.5">
      <c r="A2024" s="8" t="s">
        <v>58</v>
      </c>
      <c r="B2024" s="1" t="s">
        <v>1038</v>
      </c>
      <c r="C2024" s="1" t="s">
        <v>0</v>
      </c>
      <c r="D2024" s="9">
        <f t="shared" si="1099"/>
        <v>4540.8999999999996</v>
      </c>
      <c r="E2024" s="9">
        <f t="shared" si="1099"/>
        <v>4540.8999999999996</v>
      </c>
      <c r="F2024" s="9">
        <f t="shared" si="1099"/>
        <v>3529.6179999999999</v>
      </c>
      <c r="G2024" s="9">
        <f t="shared" si="1099"/>
        <v>3459.6179999999999</v>
      </c>
      <c r="H2024" s="9">
        <f t="shared" si="1099"/>
        <v>3412.2324600000002</v>
      </c>
      <c r="I2024" s="9">
        <f t="shared" si="1083"/>
        <v>75.144408817635281</v>
      </c>
      <c r="J2024" s="9">
        <f t="shared" si="1084"/>
        <v>96.674270700115429</v>
      </c>
    </row>
    <row r="2025" spans="1:10" ht="51">
      <c r="A2025" s="8" t="s">
        <v>60</v>
      </c>
      <c r="B2025" s="1" t="s">
        <v>1038</v>
      </c>
      <c r="C2025" s="1" t="s">
        <v>61</v>
      </c>
      <c r="D2025" s="9">
        <f t="shared" si="1099"/>
        <v>4540.8999999999996</v>
      </c>
      <c r="E2025" s="9">
        <f t="shared" si="1099"/>
        <v>4540.8999999999996</v>
      </c>
      <c r="F2025" s="9">
        <f t="shared" si="1099"/>
        <v>3529.6179999999999</v>
      </c>
      <c r="G2025" s="9">
        <f t="shared" si="1099"/>
        <v>3459.6179999999999</v>
      </c>
      <c r="H2025" s="9">
        <f t="shared" si="1099"/>
        <v>3412.2324600000002</v>
      </c>
      <c r="I2025" s="9">
        <f t="shared" si="1083"/>
        <v>75.144408817635281</v>
      </c>
      <c r="J2025" s="9">
        <f t="shared" si="1084"/>
        <v>96.674270700115429</v>
      </c>
    </row>
    <row r="2026" spans="1:10" ht="25.5">
      <c r="A2026" s="8" t="s">
        <v>62</v>
      </c>
      <c r="B2026" s="1" t="s">
        <v>1038</v>
      </c>
      <c r="C2026" s="1" t="s">
        <v>63</v>
      </c>
      <c r="D2026" s="9">
        <f>ведомство!G2709</f>
        <v>4540.8999999999996</v>
      </c>
      <c r="E2026" s="9">
        <f>ведомство!H2709</f>
        <v>4540.8999999999996</v>
      </c>
      <c r="F2026" s="9">
        <f>ведомство!I2709</f>
        <v>3529.6179999999999</v>
      </c>
      <c r="G2026" s="9">
        <f>ведомство!J2709</f>
        <v>3459.6179999999999</v>
      </c>
      <c r="H2026" s="9">
        <f>ведомство!K2709</f>
        <v>3412.2324600000002</v>
      </c>
      <c r="I2026" s="9">
        <f t="shared" si="1083"/>
        <v>75.144408817635281</v>
      </c>
      <c r="J2026" s="9">
        <f t="shared" si="1084"/>
        <v>96.674270700115429</v>
      </c>
    </row>
    <row r="2027" spans="1:10">
      <c r="A2027" s="4" t="s">
        <v>0</v>
      </c>
      <c r="B2027" s="17" t="s">
        <v>0</v>
      </c>
      <c r="C2027" s="5" t="s">
        <v>0</v>
      </c>
      <c r="D2027" s="7" t="s">
        <v>0</v>
      </c>
      <c r="E2027" s="7" t="s">
        <v>0</v>
      </c>
      <c r="F2027" s="7" t="s">
        <v>0</v>
      </c>
      <c r="G2027" s="7" t="s">
        <v>0</v>
      </c>
      <c r="H2027" s="7" t="s">
        <v>0</v>
      </c>
      <c r="I2027" s="7"/>
      <c r="J2027" s="7"/>
    </row>
    <row r="2028" spans="1:10">
      <c r="A2028" s="4" t="s">
        <v>1039</v>
      </c>
      <c r="B2028" s="5" t="s">
        <v>1040</v>
      </c>
      <c r="C2028" s="5" t="s">
        <v>0</v>
      </c>
      <c r="D2028" s="7">
        <f t="shared" ref="D2028:H2030" si="1100">D2029</f>
        <v>41293.199999999997</v>
      </c>
      <c r="E2028" s="7">
        <f t="shared" si="1100"/>
        <v>41293.199999999997</v>
      </c>
      <c r="F2028" s="7">
        <f t="shared" si="1100"/>
        <v>31357.683000000001</v>
      </c>
      <c r="G2028" s="7">
        <f t="shared" si="1100"/>
        <v>31357.683000000001</v>
      </c>
      <c r="H2028" s="7">
        <f t="shared" si="1100"/>
        <v>29931.594870000001</v>
      </c>
      <c r="I2028" s="7">
        <f t="shared" si="1083"/>
        <v>72.485529990410043</v>
      </c>
      <c r="J2028" s="7">
        <f t="shared" si="1084"/>
        <v>95.452189085526513</v>
      </c>
    </row>
    <row r="2029" spans="1:10" ht="25.5">
      <c r="A2029" s="8" t="s">
        <v>58</v>
      </c>
      <c r="B2029" s="1" t="s">
        <v>1041</v>
      </c>
      <c r="C2029" s="1" t="s">
        <v>0</v>
      </c>
      <c r="D2029" s="9">
        <f t="shared" si="1100"/>
        <v>41293.199999999997</v>
      </c>
      <c r="E2029" s="9">
        <f t="shared" si="1100"/>
        <v>41293.199999999997</v>
      </c>
      <c r="F2029" s="9">
        <f t="shared" si="1100"/>
        <v>31357.683000000001</v>
      </c>
      <c r="G2029" s="9">
        <f t="shared" si="1100"/>
        <v>31357.683000000001</v>
      </c>
      <c r="H2029" s="9">
        <f t="shared" si="1100"/>
        <v>29931.594870000001</v>
      </c>
      <c r="I2029" s="9">
        <f t="shared" si="1083"/>
        <v>72.485529990410043</v>
      </c>
      <c r="J2029" s="9">
        <f t="shared" si="1084"/>
        <v>95.452189085526513</v>
      </c>
    </row>
    <row r="2030" spans="1:10" ht="51">
      <c r="A2030" s="8" t="s">
        <v>60</v>
      </c>
      <c r="B2030" s="1" t="s">
        <v>1041</v>
      </c>
      <c r="C2030" s="1" t="s">
        <v>61</v>
      </c>
      <c r="D2030" s="9">
        <f t="shared" si="1100"/>
        <v>41293.199999999997</v>
      </c>
      <c r="E2030" s="9">
        <f t="shared" si="1100"/>
        <v>41293.199999999997</v>
      </c>
      <c r="F2030" s="9">
        <f t="shared" si="1100"/>
        <v>31357.683000000001</v>
      </c>
      <c r="G2030" s="9">
        <f t="shared" si="1100"/>
        <v>31357.683000000001</v>
      </c>
      <c r="H2030" s="9">
        <f t="shared" si="1100"/>
        <v>29931.594870000001</v>
      </c>
      <c r="I2030" s="9">
        <f t="shared" si="1083"/>
        <v>72.485529990410043</v>
      </c>
      <c r="J2030" s="9">
        <f t="shared" si="1084"/>
        <v>95.452189085526513</v>
      </c>
    </row>
    <row r="2031" spans="1:10" ht="25.5">
      <c r="A2031" s="8" t="s">
        <v>62</v>
      </c>
      <c r="B2031" s="1" t="s">
        <v>1041</v>
      </c>
      <c r="C2031" s="1" t="s">
        <v>63</v>
      </c>
      <c r="D2031" s="9">
        <f>ведомство!G2713</f>
        <v>41293.199999999997</v>
      </c>
      <c r="E2031" s="9">
        <f>ведомство!H2713</f>
        <v>41293.199999999997</v>
      </c>
      <c r="F2031" s="9">
        <f>ведомство!I2713</f>
        <v>31357.683000000001</v>
      </c>
      <c r="G2031" s="9">
        <f>ведомство!J2713</f>
        <v>31357.683000000001</v>
      </c>
      <c r="H2031" s="9">
        <f>ведомство!K2713</f>
        <v>29931.594870000001</v>
      </c>
      <c r="I2031" s="9">
        <f t="shared" si="1083"/>
        <v>72.485529990410043</v>
      </c>
      <c r="J2031" s="9">
        <f t="shared" si="1084"/>
        <v>95.452189085526513</v>
      </c>
    </row>
    <row r="2032" spans="1:10">
      <c r="A2032" s="4" t="s">
        <v>0</v>
      </c>
      <c r="B2032" s="17" t="s">
        <v>0</v>
      </c>
      <c r="C2032" s="5" t="s">
        <v>0</v>
      </c>
      <c r="D2032" s="7" t="s">
        <v>0</v>
      </c>
      <c r="E2032" s="7" t="s">
        <v>0</v>
      </c>
      <c r="F2032" s="7" t="s">
        <v>0</v>
      </c>
      <c r="G2032" s="7" t="s">
        <v>0</v>
      </c>
      <c r="H2032" s="7" t="s">
        <v>0</v>
      </c>
      <c r="I2032" s="7"/>
      <c r="J2032" s="7"/>
    </row>
    <row r="2033" spans="1:10">
      <c r="A2033" s="4" t="s">
        <v>1042</v>
      </c>
      <c r="B2033" s="5" t="s">
        <v>1043</v>
      </c>
      <c r="C2033" s="5" t="s">
        <v>0</v>
      </c>
      <c r="D2033" s="7">
        <f>D2034+D2042</f>
        <v>139410.99999999997</v>
      </c>
      <c r="E2033" s="7">
        <f>E2034+E2042</f>
        <v>139228.60043999998</v>
      </c>
      <c r="F2033" s="7">
        <f t="shared" ref="F2033:G2033" si="1101">F2034+F2042</f>
        <v>105385.71494000001</v>
      </c>
      <c r="G2033" s="7">
        <f t="shared" si="1101"/>
        <v>104155.20339000001</v>
      </c>
      <c r="H2033" s="7">
        <f>H2034+H2042</f>
        <v>94996.106210000013</v>
      </c>
      <c r="I2033" s="7">
        <f t="shared" si="1083"/>
        <v>68.230310374295698</v>
      </c>
      <c r="J2033" s="7">
        <f t="shared" si="1084"/>
        <v>90.141350053073907</v>
      </c>
    </row>
    <row r="2034" spans="1:10" ht="25.5">
      <c r="A2034" s="8" t="s">
        <v>58</v>
      </c>
      <c r="B2034" s="1" t="s">
        <v>1044</v>
      </c>
      <c r="C2034" s="1" t="s">
        <v>0</v>
      </c>
      <c r="D2034" s="9">
        <f>D2035+D2037+D2039</f>
        <v>138091.59999999998</v>
      </c>
      <c r="E2034" s="9">
        <f>E2035+E2037+E2039</f>
        <v>137909.20043999999</v>
      </c>
      <c r="F2034" s="9">
        <f t="shared" ref="F2034:G2034" si="1102">F2035+F2037+F2039</f>
        <v>104635.71494000001</v>
      </c>
      <c r="G2034" s="9">
        <f t="shared" si="1102"/>
        <v>103855.20339000001</v>
      </c>
      <c r="H2034" s="9">
        <f>H2035+H2037+H2039</f>
        <v>94822.321350000013</v>
      </c>
      <c r="I2034" s="9">
        <f t="shared" si="1083"/>
        <v>68.757067003121563</v>
      </c>
      <c r="J2034" s="9">
        <f t="shared" si="1084"/>
        <v>90.621372830847307</v>
      </c>
    </row>
    <row r="2035" spans="1:10" ht="51">
      <c r="A2035" s="8" t="s">
        <v>60</v>
      </c>
      <c r="B2035" s="1" t="s">
        <v>1044</v>
      </c>
      <c r="C2035" s="1" t="s">
        <v>61</v>
      </c>
      <c r="D2035" s="9">
        <f>D2036</f>
        <v>102047</v>
      </c>
      <c r="E2035" s="9">
        <f>E2036</f>
        <v>102047</v>
      </c>
      <c r="F2035" s="9">
        <f t="shared" ref="F2035:G2035" si="1103">F2036</f>
        <v>76735.514999999999</v>
      </c>
      <c r="G2035" s="9">
        <f t="shared" si="1103"/>
        <v>76535.514999999999</v>
      </c>
      <c r="H2035" s="9">
        <f>H2036</f>
        <v>74693.801300000006</v>
      </c>
      <c r="I2035" s="9">
        <f t="shared" si="1083"/>
        <v>73.195489627328598</v>
      </c>
      <c r="J2035" s="9">
        <f t="shared" si="1084"/>
        <v>97.339284554225003</v>
      </c>
    </row>
    <row r="2036" spans="1:10" ht="25.5">
      <c r="A2036" s="8" t="s">
        <v>62</v>
      </c>
      <c r="B2036" s="1" t="s">
        <v>1044</v>
      </c>
      <c r="C2036" s="1" t="s">
        <v>63</v>
      </c>
      <c r="D2036" s="9">
        <f>ведомство!G2717</f>
        <v>102047</v>
      </c>
      <c r="E2036" s="9">
        <f>ведомство!H2717</f>
        <v>102047</v>
      </c>
      <c r="F2036" s="9">
        <f>ведомство!I2717</f>
        <v>76735.514999999999</v>
      </c>
      <c r="G2036" s="9">
        <f>ведомство!J2717</f>
        <v>76535.514999999999</v>
      </c>
      <c r="H2036" s="9">
        <f>ведомство!K2717</f>
        <v>74693.801300000006</v>
      </c>
      <c r="I2036" s="9">
        <f t="shared" si="1083"/>
        <v>73.195489627328598</v>
      </c>
      <c r="J2036" s="9">
        <f t="shared" si="1084"/>
        <v>97.339284554225003</v>
      </c>
    </row>
    <row r="2037" spans="1:10" ht="25.5">
      <c r="A2037" s="8" t="s">
        <v>64</v>
      </c>
      <c r="B2037" s="1" t="s">
        <v>1044</v>
      </c>
      <c r="C2037" s="1" t="s">
        <v>65</v>
      </c>
      <c r="D2037" s="9">
        <f>D2038</f>
        <v>35998.800000000003</v>
      </c>
      <c r="E2037" s="9">
        <f>E2038</f>
        <v>35814.400439999998</v>
      </c>
      <c r="F2037" s="9">
        <f t="shared" ref="F2037:G2037" si="1104">F2038</f>
        <v>27862.34994</v>
      </c>
      <c r="G2037" s="9">
        <f t="shared" si="1104"/>
        <v>27283.838390000001</v>
      </c>
      <c r="H2037" s="9">
        <f>H2038</f>
        <v>20098.80805</v>
      </c>
      <c r="I2037" s="9">
        <f t="shared" si="1083"/>
        <v>56.119348092038038</v>
      </c>
      <c r="J2037" s="9">
        <f t="shared" si="1084"/>
        <v>72.136083615637773</v>
      </c>
    </row>
    <row r="2038" spans="1:10" ht="25.5">
      <c r="A2038" s="8" t="s">
        <v>66</v>
      </c>
      <c r="B2038" s="1" t="s">
        <v>1044</v>
      </c>
      <c r="C2038" s="1" t="s">
        <v>67</v>
      </c>
      <c r="D2038" s="9">
        <f>ведомство!G2719</f>
        <v>35998.800000000003</v>
      </c>
      <c r="E2038" s="9">
        <f>ведомство!H2719</f>
        <v>35814.400439999998</v>
      </c>
      <c r="F2038" s="9">
        <f>ведомство!I2719</f>
        <v>27862.34994</v>
      </c>
      <c r="G2038" s="9">
        <f>ведомство!J2719</f>
        <v>27283.838390000001</v>
      </c>
      <c r="H2038" s="9">
        <f>ведомство!K2719</f>
        <v>20098.80805</v>
      </c>
      <c r="I2038" s="9">
        <f t="shared" si="1083"/>
        <v>56.119348092038038</v>
      </c>
      <c r="J2038" s="9">
        <f t="shared" si="1084"/>
        <v>72.136083615637773</v>
      </c>
    </row>
    <row r="2039" spans="1:10">
      <c r="A2039" s="8" t="s">
        <v>72</v>
      </c>
      <c r="B2039" s="1" t="s">
        <v>1044</v>
      </c>
      <c r="C2039" s="1" t="s">
        <v>73</v>
      </c>
      <c r="D2039" s="9">
        <f>D2041+D2040</f>
        <v>45.8</v>
      </c>
      <c r="E2039" s="9">
        <f>E2041+E2040</f>
        <v>47.8</v>
      </c>
      <c r="F2039" s="9">
        <f t="shared" ref="F2039:G2039" si="1105">F2041+F2040</f>
        <v>37.85</v>
      </c>
      <c r="G2039" s="9">
        <f t="shared" si="1105"/>
        <v>35.85</v>
      </c>
      <c r="H2039" s="9">
        <f>H2041+H2040</f>
        <v>29.712</v>
      </c>
      <c r="I2039" s="9">
        <f t="shared" si="1083"/>
        <v>62.158995815899587</v>
      </c>
      <c r="J2039" s="9">
        <f t="shared" si="1084"/>
        <v>78.4993394980185</v>
      </c>
    </row>
    <row r="2040" spans="1:10" s="42" customFormat="1">
      <c r="A2040" s="25" t="s">
        <v>84</v>
      </c>
      <c r="B2040" s="1" t="s">
        <v>1044</v>
      </c>
      <c r="C2040" s="1">
        <v>830</v>
      </c>
      <c r="D2040" s="9">
        <f>ведомство!G2721</f>
        <v>0</v>
      </c>
      <c r="E2040" s="9">
        <f>ведомство!H2721</f>
        <v>2</v>
      </c>
      <c r="F2040" s="9">
        <f>ведомство!I2721</f>
        <v>2</v>
      </c>
      <c r="G2040" s="9">
        <f>ведомство!J2721</f>
        <v>2</v>
      </c>
      <c r="H2040" s="9">
        <f>ведомство!K2721</f>
        <v>2</v>
      </c>
      <c r="I2040" s="9"/>
      <c r="J2040" s="9"/>
    </row>
    <row r="2041" spans="1:10">
      <c r="A2041" s="8" t="s">
        <v>74</v>
      </c>
      <c r="B2041" s="1" t="s">
        <v>1044</v>
      </c>
      <c r="C2041" s="1" t="s">
        <v>75</v>
      </c>
      <c r="D2041" s="9">
        <f>ведомство!G2722</f>
        <v>45.8</v>
      </c>
      <c r="E2041" s="9">
        <f>ведомство!H2722</f>
        <v>45.8</v>
      </c>
      <c r="F2041" s="9">
        <f>ведомство!I2722</f>
        <v>35.85</v>
      </c>
      <c r="G2041" s="9">
        <f>ведомство!J2722</f>
        <v>33.85</v>
      </c>
      <c r="H2041" s="9">
        <f>ведомство!K2722</f>
        <v>27.712</v>
      </c>
      <c r="I2041" s="9">
        <f t="shared" si="1083"/>
        <v>60.506550218340614</v>
      </c>
      <c r="J2041" s="9">
        <f t="shared" si="1084"/>
        <v>77.299860529986049</v>
      </c>
    </row>
    <row r="2042" spans="1:10" ht="25.5">
      <c r="A2042" s="8" t="s">
        <v>1045</v>
      </c>
      <c r="B2042" s="1" t="s">
        <v>1046</v>
      </c>
      <c r="C2042" s="1" t="s">
        <v>0</v>
      </c>
      <c r="D2042" s="9">
        <f>D2043</f>
        <v>1319.4</v>
      </c>
      <c r="E2042" s="9">
        <f>E2043</f>
        <v>1319.4</v>
      </c>
      <c r="F2042" s="9">
        <f t="shared" ref="F2042:G2043" si="1106">F2043</f>
        <v>750</v>
      </c>
      <c r="G2042" s="9">
        <f t="shared" si="1106"/>
        <v>300</v>
      </c>
      <c r="H2042" s="9">
        <f>H2043</f>
        <v>173.78486000000001</v>
      </c>
      <c r="I2042" s="9">
        <f t="shared" si="1083"/>
        <v>13.171506745490374</v>
      </c>
      <c r="J2042" s="9">
        <f t="shared" si="1084"/>
        <v>23.171314666666667</v>
      </c>
    </row>
    <row r="2043" spans="1:10">
      <c r="A2043" s="8" t="s">
        <v>26</v>
      </c>
      <c r="B2043" s="1" t="s">
        <v>1046</v>
      </c>
      <c r="C2043" s="1" t="s">
        <v>27</v>
      </c>
      <c r="D2043" s="9">
        <f>D2044</f>
        <v>1319.4</v>
      </c>
      <c r="E2043" s="9">
        <f>E2044</f>
        <v>1319.4</v>
      </c>
      <c r="F2043" s="9">
        <f t="shared" si="1106"/>
        <v>750</v>
      </c>
      <c r="G2043" s="9">
        <f t="shared" si="1106"/>
        <v>300</v>
      </c>
      <c r="H2043" s="9">
        <f>H2044</f>
        <v>173.78486000000001</v>
      </c>
      <c r="I2043" s="9">
        <f t="shared" si="1083"/>
        <v>13.171506745490374</v>
      </c>
      <c r="J2043" s="9">
        <f t="shared" si="1084"/>
        <v>23.171314666666667</v>
      </c>
    </row>
    <row r="2044" spans="1:10">
      <c r="A2044" s="8" t="s">
        <v>352</v>
      </c>
      <c r="B2044" s="1" t="s">
        <v>1046</v>
      </c>
      <c r="C2044" s="1" t="s">
        <v>353</v>
      </c>
      <c r="D2044" s="9">
        <f>ведомство!G2725</f>
        <v>1319.4</v>
      </c>
      <c r="E2044" s="9">
        <f>ведомство!H2725</f>
        <v>1319.4</v>
      </c>
      <c r="F2044" s="9">
        <f>ведомство!I2725</f>
        <v>750</v>
      </c>
      <c r="G2044" s="9">
        <f>ведомство!J2725</f>
        <v>300</v>
      </c>
      <c r="H2044" s="9">
        <f>ведомство!K2725</f>
        <v>173.78486000000001</v>
      </c>
      <c r="I2044" s="9">
        <f t="shared" si="1083"/>
        <v>13.171506745490374</v>
      </c>
      <c r="J2044" s="9">
        <f t="shared" si="1084"/>
        <v>23.171314666666667</v>
      </c>
    </row>
    <row r="2045" spans="1:10">
      <c r="A2045" s="4" t="s">
        <v>0</v>
      </c>
      <c r="B2045" s="17" t="s">
        <v>0</v>
      </c>
      <c r="C2045" s="5" t="s">
        <v>0</v>
      </c>
      <c r="D2045" s="7" t="s">
        <v>0</v>
      </c>
      <c r="E2045" s="7" t="s">
        <v>0</v>
      </c>
      <c r="F2045" s="7" t="s">
        <v>0</v>
      </c>
      <c r="G2045" s="7" t="s">
        <v>0</v>
      </c>
      <c r="H2045" s="7" t="s">
        <v>0</v>
      </c>
      <c r="I2045" s="7"/>
      <c r="J2045" s="7"/>
    </row>
    <row r="2046" spans="1:10" ht="25.5">
      <c r="A2046" s="4" t="s">
        <v>1013</v>
      </c>
      <c r="B2046" s="5" t="s">
        <v>1014</v>
      </c>
      <c r="C2046" s="5" t="s">
        <v>0</v>
      </c>
      <c r="D2046" s="7">
        <f>D2047+D2052+D2057+D2062</f>
        <v>43381</v>
      </c>
      <c r="E2046" s="7">
        <f>E2047+E2052+E2057+E2062</f>
        <v>43381</v>
      </c>
      <c r="F2046" s="7">
        <f t="shared" ref="F2046:G2046" si="1107">F2047+F2052+F2057+F2062</f>
        <v>33573.699999999997</v>
      </c>
      <c r="G2046" s="7">
        <f t="shared" si="1107"/>
        <v>29502.3</v>
      </c>
      <c r="H2046" s="7">
        <f>H2047+H2052+H2057+H2062</f>
        <v>26924.720090000003</v>
      </c>
      <c r="I2046" s="7">
        <f t="shared" si="1083"/>
        <v>62.065697171572808</v>
      </c>
      <c r="J2046" s="7">
        <f t="shared" si="1084"/>
        <v>80.195867866812435</v>
      </c>
    </row>
    <row r="2047" spans="1:10">
      <c r="A2047" s="4" t="s">
        <v>1015</v>
      </c>
      <c r="B2047" s="5" t="s">
        <v>1016</v>
      </c>
      <c r="C2047" s="5" t="s">
        <v>0</v>
      </c>
      <c r="D2047" s="7">
        <f t="shared" ref="D2047:H2049" si="1108">D2048</f>
        <v>8682.6</v>
      </c>
      <c r="E2047" s="7">
        <f t="shared" si="1108"/>
        <v>8682.6</v>
      </c>
      <c r="F2047" s="7">
        <f t="shared" si="1108"/>
        <v>6568</v>
      </c>
      <c r="G2047" s="7">
        <f t="shared" si="1108"/>
        <v>6568</v>
      </c>
      <c r="H2047" s="7">
        <f t="shared" si="1108"/>
        <v>5946.57035</v>
      </c>
      <c r="I2047" s="7">
        <f t="shared" si="1083"/>
        <v>68.488360053440218</v>
      </c>
      <c r="J2047" s="7">
        <f t="shared" si="1084"/>
        <v>90.538525426309377</v>
      </c>
    </row>
    <row r="2048" spans="1:10" ht="25.5">
      <c r="A2048" s="8" t="s">
        <v>58</v>
      </c>
      <c r="B2048" s="1" t="s">
        <v>1017</v>
      </c>
      <c r="C2048" s="1" t="s">
        <v>0</v>
      </c>
      <c r="D2048" s="9">
        <f t="shared" si="1108"/>
        <v>8682.6</v>
      </c>
      <c r="E2048" s="9">
        <f t="shared" si="1108"/>
        <v>8682.6</v>
      </c>
      <c r="F2048" s="9">
        <f t="shared" si="1108"/>
        <v>6568</v>
      </c>
      <c r="G2048" s="9">
        <f t="shared" si="1108"/>
        <v>6568</v>
      </c>
      <c r="H2048" s="9">
        <f t="shared" si="1108"/>
        <v>5946.57035</v>
      </c>
      <c r="I2048" s="9">
        <f t="shared" si="1083"/>
        <v>68.488360053440218</v>
      </c>
      <c r="J2048" s="9">
        <f t="shared" si="1084"/>
        <v>90.538525426309377</v>
      </c>
    </row>
    <row r="2049" spans="1:10" ht="51">
      <c r="A2049" s="8" t="s">
        <v>60</v>
      </c>
      <c r="B2049" s="1" t="s">
        <v>1017</v>
      </c>
      <c r="C2049" s="1" t="s">
        <v>61</v>
      </c>
      <c r="D2049" s="9">
        <f t="shared" si="1108"/>
        <v>8682.6</v>
      </c>
      <c r="E2049" s="9">
        <f t="shared" si="1108"/>
        <v>8682.6</v>
      </c>
      <c r="F2049" s="9">
        <f t="shared" si="1108"/>
        <v>6568</v>
      </c>
      <c r="G2049" s="9">
        <f t="shared" si="1108"/>
        <v>6568</v>
      </c>
      <c r="H2049" s="9">
        <f t="shared" si="1108"/>
        <v>5946.57035</v>
      </c>
      <c r="I2049" s="9">
        <f t="shared" si="1083"/>
        <v>68.488360053440218</v>
      </c>
      <c r="J2049" s="9">
        <f t="shared" si="1084"/>
        <v>90.538525426309377</v>
      </c>
    </row>
    <row r="2050" spans="1:10" ht="25.5">
      <c r="A2050" s="8" t="s">
        <v>62</v>
      </c>
      <c r="B2050" s="1" t="s">
        <v>1017</v>
      </c>
      <c r="C2050" s="1" t="s">
        <v>63</v>
      </c>
      <c r="D2050" s="9">
        <f>ведомство!G2671</f>
        <v>8682.6</v>
      </c>
      <c r="E2050" s="9">
        <f>ведомство!H2671</f>
        <v>8682.6</v>
      </c>
      <c r="F2050" s="9">
        <f>ведомство!I2671</f>
        <v>6568</v>
      </c>
      <c r="G2050" s="9">
        <f>ведомство!J2671</f>
        <v>6568</v>
      </c>
      <c r="H2050" s="9">
        <f>ведомство!K2671</f>
        <v>5946.57035</v>
      </c>
      <c r="I2050" s="9">
        <f t="shared" si="1083"/>
        <v>68.488360053440218</v>
      </c>
      <c r="J2050" s="9">
        <f t="shared" si="1084"/>
        <v>90.538525426309377</v>
      </c>
    </row>
    <row r="2051" spans="1:10">
      <c r="A2051" s="4" t="s">
        <v>0</v>
      </c>
      <c r="B2051" s="17" t="s">
        <v>0</v>
      </c>
      <c r="C2051" s="5" t="s">
        <v>0</v>
      </c>
      <c r="D2051" s="7" t="s">
        <v>0</v>
      </c>
      <c r="E2051" s="7" t="s">
        <v>0</v>
      </c>
      <c r="F2051" s="7" t="s">
        <v>0</v>
      </c>
      <c r="G2051" s="7" t="s">
        <v>0</v>
      </c>
      <c r="H2051" s="7" t="s">
        <v>0</v>
      </c>
      <c r="I2051" s="7"/>
      <c r="J2051" s="7"/>
    </row>
    <row r="2052" spans="1:10" ht="38.25">
      <c r="A2052" s="4" t="s">
        <v>1018</v>
      </c>
      <c r="B2052" s="5" t="s">
        <v>1019</v>
      </c>
      <c r="C2052" s="5" t="s">
        <v>0</v>
      </c>
      <c r="D2052" s="7">
        <f t="shared" ref="D2052:H2054" si="1109">D2053</f>
        <v>88</v>
      </c>
      <c r="E2052" s="7">
        <f t="shared" si="1109"/>
        <v>88</v>
      </c>
      <c r="F2052" s="7">
        <f t="shared" si="1109"/>
        <v>88</v>
      </c>
      <c r="G2052" s="7">
        <f t="shared" si="1109"/>
        <v>88</v>
      </c>
      <c r="H2052" s="7">
        <f t="shared" si="1109"/>
        <v>74.5</v>
      </c>
      <c r="I2052" s="7">
        <f t="shared" si="1083"/>
        <v>84.659090909090907</v>
      </c>
      <c r="J2052" s="7">
        <f t="shared" si="1084"/>
        <v>84.659090909090907</v>
      </c>
    </row>
    <row r="2053" spans="1:10" ht="38.25">
      <c r="A2053" s="8" t="s">
        <v>1018</v>
      </c>
      <c r="B2053" s="1" t="s">
        <v>1020</v>
      </c>
      <c r="C2053" s="1" t="s">
        <v>0</v>
      </c>
      <c r="D2053" s="9">
        <f t="shared" si="1109"/>
        <v>88</v>
      </c>
      <c r="E2053" s="9">
        <f t="shared" si="1109"/>
        <v>88</v>
      </c>
      <c r="F2053" s="9">
        <f t="shared" si="1109"/>
        <v>88</v>
      </c>
      <c r="G2053" s="9">
        <f t="shared" si="1109"/>
        <v>88</v>
      </c>
      <c r="H2053" s="9">
        <f t="shared" si="1109"/>
        <v>74.5</v>
      </c>
      <c r="I2053" s="9">
        <f t="shared" si="1083"/>
        <v>84.659090909090907</v>
      </c>
      <c r="J2053" s="9">
        <f t="shared" si="1084"/>
        <v>84.659090909090907</v>
      </c>
    </row>
    <row r="2054" spans="1:10" ht="25.5">
      <c r="A2054" s="8" t="s">
        <v>64</v>
      </c>
      <c r="B2054" s="1" t="s">
        <v>1020</v>
      </c>
      <c r="C2054" s="1" t="s">
        <v>65</v>
      </c>
      <c r="D2054" s="9">
        <f t="shared" si="1109"/>
        <v>88</v>
      </c>
      <c r="E2054" s="9">
        <f t="shared" si="1109"/>
        <v>88</v>
      </c>
      <c r="F2054" s="9">
        <f t="shared" si="1109"/>
        <v>88</v>
      </c>
      <c r="G2054" s="9">
        <f t="shared" si="1109"/>
        <v>88</v>
      </c>
      <c r="H2054" s="9">
        <f t="shared" si="1109"/>
        <v>74.5</v>
      </c>
      <c r="I2054" s="9">
        <f t="shared" si="1083"/>
        <v>84.659090909090907</v>
      </c>
      <c r="J2054" s="9">
        <f t="shared" si="1084"/>
        <v>84.659090909090907</v>
      </c>
    </row>
    <row r="2055" spans="1:10" ht="25.5">
      <c r="A2055" s="8" t="s">
        <v>66</v>
      </c>
      <c r="B2055" s="1" t="s">
        <v>1020</v>
      </c>
      <c r="C2055" s="1" t="s">
        <v>67</v>
      </c>
      <c r="D2055" s="9">
        <f>ведомство!G2675</f>
        <v>88</v>
      </c>
      <c r="E2055" s="9">
        <f>ведомство!H2675</f>
        <v>88</v>
      </c>
      <c r="F2055" s="9">
        <f>ведомство!I2675</f>
        <v>88</v>
      </c>
      <c r="G2055" s="9">
        <f>ведомство!J2675</f>
        <v>88</v>
      </c>
      <c r="H2055" s="9">
        <f>ведомство!K2675</f>
        <v>74.5</v>
      </c>
      <c r="I2055" s="9">
        <f t="shared" si="1083"/>
        <v>84.659090909090907</v>
      </c>
      <c r="J2055" s="9">
        <f t="shared" si="1084"/>
        <v>84.659090909090907</v>
      </c>
    </row>
    <row r="2056" spans="1:10">
      <c r="A2056" s="4" t="s">
        <v>0</v>
      </c>
      <c r="B2056" s="17" t="s">
        <v>0</v>
      </c>
      <c r="C2056" s="5" t="s">
        <v>0</v>
      </c>
      <c r="D2056" s="7" t="s">
        <v>0</v>
      </c>
      <c r="E2056" s="7" t="s">
        <v>0</v>
      </c>
      <c r="F2056" s="7" t="s">
        <v>0</v>
      </c>
      <c r="G2056" s="7" t="s">
        <v>0</v>
      </c>
      <c r="H2056" s="7" t="s">
        <v>0</v>
      </c>
      <c r="I2056" s="7"/>
      <c r="J2056" s="7"/>
    </row>
    <row r="2057" spans="1:10">
      <c r="A2057" s="4" t="s">
        <v>1021</v>
      </c>
      <c r="B2057" s="5" t="s">
        <v>1022</v>
      </c>
      <c r="C2057" s="5" t="s">
        <v>0</v>
      </c>
      <c r="D2057" s="7">
        <f t="shared" ref="D2057:H2059" si="1110">D2058</f>
        <v>4071.4</v>
      </c>
      <c r="E2057" s="7">
        <f t="shared" si="1110"/>
        <v>4071.4</v>
      </c>
      <c r="F2057" s="7">
        <f t="shared" si="1110"/>
        <v>4071.4</v>
      </c>
      <c r="G2057" s="7">
        <f t="shared" si="1110"/>
        <v>0</v>
      </c>
      <c r="H2057" s="7">
        <f t="shared" si="1110"/>
        <v>0</v>
      </c>
      <c r="I2057" s="7">
        <f t="shared" si="1083"/>
        <v>0</v>
      </c>
      <c r="J2057" s="7">
        <f t="shared" si="1084"/>
        <v>0</v>
      </c>
    </row>
    <row r="2058" spans="1:10" ht="25.5">
      <c r="A2058" s="8" t="s">
        <v>1023</v>
      </c>
      <c r="B2058" s="1" t="s">
        <v>1024</v>
      </c>
      <c r="C2058" s="1" t="s">
        <v>0</v>
      </c>
      <c r="D2058" s="9">
        <f t="shared" si="1110"/>
        <v>4071.4</v>
      </c>
      <c r="E2058" s="9">
        <f t="shared" si="1110"/>
        <v>4071.4</v>
      </c>
      <c r="F2058" s="9">
        <f t="shared" si="1110"/>
        <v>4071.4</v>
      </c>
      <c r="G2058" s="9">
        <f t="shared" si="1110"/>
        <v>0</v>
      </c>
      <c r="H2058" s="9">
        <f t="shared" si="1110"/>
        <v>0</v>
      </c>
      <c r="I2058" s="9">
        <f t="shared" si="1083"/>
        <v>0</v>
      </c>
      <c r="J2058" s="9">
        <f t="shared" si="1084"/>
        <v>0</v>
      </c>
    </row>
    <row r="2059" spans="1:10">
      <c r="A2059" s="8" t="s">
        <v>72</v>
      </c>
      <c r="B2059" s="1" t="s">
        <v>1024</v>
      </c>
      <c r="C2059" s="1" t="s">
        <v>73</v>
      </c>
      <c r="D2059" s="9">
        <f t="shared" si="1110"/>
        <v>4071.4</v>
      </c>
      <c r="E2059" s="9">
        <f t="shared" si="1110"/>
        <v>4071.4</v>
      </c>
      <c r="F2059" s="9">
        <f t="shared" si="1110"/>
        <v>4071.4</v>
      </c>
      <c r="G2059" s="9">
        <f t="shared" si="1110"/>
        <v>0</v>
      </c>
      <c r="H2059" s="9">
        <f t="shared" si="1110"/>
        <v>0</v>
      </c>
      <c r="I2059" s="9">
        <f t="shared" si="1083"/>
        <v>0</v>
      </c>
      <c r="J2059" s="9">
        <f t="shared" si="1084"/>
        <v>0</v>
      </c>
    </row>
    <row r="2060" spans="1:10">
      <c r="A2060" s="8" t="s">
        <v>615</v>
      </c>
      <c r="B2060" s="1" t="s">
        <v>1024</v>
      </c>
      <c r="C2060" s="1" t="s">
        <v>616</v>
      </c>
      <c r="D2060" s="9">
        <f>ведомство!G2679</f>
        <v>4071.4</v>
      </c>
      <c r="E2060" s="9">
        <f>ведомство!H2679</f>
        <v>4071.4</v>
      </c>
      <c r="F2060" s="9">
        <f>ведомство!I2679</f>
        <v>4071.4</v>
      </c>
      <c r="G2060" s="9">
        <f>ведомство!J2679</f>
        <v>0</v>
      </c>
      <c r="H2060" s="9">
        <f>ведомство!K2679</f>
        <v>0</v>
      </c>
      <c r="I2060" s="9">
        <f t="shared" si="1083"/>
        <v>0</v>
      </c>
      <c r="J2060" s="9">
        <f t="shared" si="1084"/>
        <v>0</v>
      </c>
    </row>
    <row r="2061" spans="1:10">
      <c r="A2061" s="4" t="s">
        <v>0</v>
      </c>
      <c r="B2061" s="17" t="s">
        <v>0</v>
      </c>
      <c r="C2061" s="5" t="s">
        <v>0</v>
      </c>
      <c r="D2061" s="7" t="s">
        <v>0</v>
      </c>
      <c r="E2061" s="7" t="s">
        <v>0</v>
      </c>
      <c r="F2061" s="7" t="s">
        <v>0</v>
      </c>
      <c r="G2061" s="7" t="s">
        <v>0</v>
      </c>
      <c r="H2061" s="7" t="s">
        <v>0</v>
      </c>
      <c r="I2061" s="7"/>
      <c r="J2061" s="7"/>
    </row>
    <row r="2062" spans="1:10">
      <c r="A2062" s="4" t="s">
        <v>1025</v>
      </c>
      <c r="B2062" s="5" t="s">
        <v>1026</v>
      </c>
      <c r="C2062" s="5" t="s">
        <v>0</v>
      </c>
      <c r="D2062" s="7">
        <f>D2063</f>
        <v>30539</v>
      </c>
      <c r="E2062" s="7">
        <f>E2063</f>
        <v>30539</v>
      </c>
      <c r="F2062" s="7">
        <f t="shared" ref="F2062:G2062" si="1111">F2063</f>
        <v>22846.3</v>
      </c>
      <c r="G2062" s="7">
        <f t="shared" si="1111"/>
        <v>22846.3</v>
      </c>
      <c r="H2062" s="7">
        <f>H2063</f>
        <v>20903.649740000001</v>
      </c>
      <c r="I2062" s="7">
        <f t="shared" ref="I2062:I2146" si="1112">H2062/E2062*100</f>
        <v>68.44903153344903</v>
      </c>
      <c r="J2062" s="7">
        <f t="shared" ref="J2062:J2143" si="1113">H2062/F2062*100</f>
        <v>91.496871440889777</v>
      </c>
    </row>
    <row r="2063" spans="1:10" ht="25.5">
      <c r="A2063" s="8" t="s">
        <v>58</v>
      </c>
      <c r="B2063" s="1" t="s">
        <v>1027</v>
      </c>
      <c r="C2063" s="1" t="s">
        <v>0</v>
      </c>
      <c r="D2063" s="9">
        <f>D2064+D2066+D2068</f>
        <v>30539</v>
      </c>
      <c r="E2063" s="9">
        <f>E2064+E2066+E2068</f>
        <v>30539</v>
      </c>
      <c r="F2063" s="9">
        <f t="shared" ref="F2063:G2063" si="1114">F2064+F2066+F2068</f>
        <v>22846.3</v>
      </c>
      <c r="G2063" s="9">
        <f t="shared" si="1114"/>
        <v>22846.3</v>
      </c>
      <c r="H2063" s="9">
        <f>H2064+H2066+H2068</f>
        <v>20903.649740000001</v>
      </c>
      <c r="I2063" s="9">
        <f t="shared" si="1112"/>
        <v>68.44903153344903</v>
      </c>
      <c r="J2063" s="9">
        <f t="shared" si="1113"/>
        <v>91.496871440889777</v>
      </c>
    </row>
    <row r="2064" spans="1:10" ht="51">
      <c r="A2064" s="8" t="s">
        <v>60</v>
      </c>
      <c r="B2064" s="1" t="s">
        <v>1027</v>
      </c>
      <c r="C2064" s="1" t="s">
        <v>61</v>
      </c>
      <c r="D2064" s="9">
        <f>D2065</f>
        <v>29891.8</v>
      </c>
      <c r="E2064" s="9">
        <f>E2065</f>
        <v>29891.8</v>
      </c>
      <c r="F2064" s="9">
        <f t="shared" ref="F2064:G2064" si="1115">F2065</f>
        <v>22352.799999999999</v>
      </c>
      <c r="G2064" s="9">
        <f t="shared" si="1115"/>
        <v>22352.799999999999</v>
      </c>
      <c r="H2064" s="9">
        <f>H2065</f>
        <v>20568.215199999999</v>
      </c>
      <c r="I2064" s="9">
        <f t="shared" si="1112"/>
        <v>68.808888056256222</v>
      </c>
      <c r="J2064" s="9">
        <f t="shared" si="1113"/>
        <v>92.016280734404631</v>
      </c>
    </row>
    <row r="2065" spans="1:10" ht="25.5">
      <c r="A2065" s="8" t="s">
        <v>62</v>
      </c>
      <c r="B2065" s="1" t="s">
        <v>1027</v>
      </c>
      <c r="C2065" s="1" t="s">
        <v>63</v>
      </c>
      <c r="D2065" s="9">
        <f>ведомство!G2683</f>
        <v>29891.8</v>
      </c>
      <c r="E2065" s="9">
        <f>ведомство!H2683</f>
        <v>29891.8</v>
      </c>
      <c r="F2065" s="9">
        <f>ведомство!I2683</f>
        <v>22352.799999999999</v>
      </c>
      <c r="G2065" s="9">
        <f>ведомство!J2683</f>
        <v>22352.799999999999</v>
      </c>
      <c r="H2065" s="9">
        <f>ведомство!K2683</f>
        <v>20568.215199999999</v>
      </c>
      <c r="I2065" s="9">
        <f t="shared" si="1112"/>
        <v>68.808888056256222</v>
      </c>
      <c r="J2065" s="9">
        <f t="shared" si="1113"/>
        <v>92.016280734404631</v>
      </c>
    </row>
    <row r="2066" spans="1:10" ht="25.5">
      <c r="A2066" s="8" t="s">
        <v>64</v>
      </c>
      <c r="B2066" s="1" t="s">
        <v>1027</v>
      </c>
      <c r="C2066" s="1" t="s">
        <v>65</v>
      </c>
      <c r="D2066" s="9">
        <f>D2067</f>
        <v>629.20000000000005</v>
      </c>
      <c r="E2066" s="9">
        <f>E2067</f>
        <v>629.20000000000005</v>
      </c>
      <c r="F2066" s="9">
        <f t="shared" ref="F2066:G2066" si="1116">F2067</f>
        <v>480</v>
      </c>
      <c r="G2066" s="9">
        <f t="shared" si="1116"/>
        <v>480</v>
      </c>
      <c r="H2066" s="9">
        <f>H2067</f>
        <v>322.37554</v>
      </c>
      <c r="I2066" s="9">
        <f t="shared" si="1112"/>
        <v>51.235781945327396</v>
      </c>
      <c r="J2066" s="9">
        <f t="shared" si="1113"/>
        <v>67.161570833333329</v>
      </c>
    </row>
    <row r="2067" spans="1:10" ht="25.5">
      <c r="A2067" s="8" t="s">
        <v>66</v>
      </c>
      <c r="B2067" s="1" t="s">
        <v>1027</v>
      </c>
      <c r="C2067" s="1" t="s">
        <v>67</v>
      </c>
      <c r="D2067" s="9">
        <f>ведомство!G2685</f>
        <v>629.20000000000005</v>
      </c>
      <c r="E2067" s="9">
        <f>ведомство!H2685</f>
        <v>629.20000000000005</v>
      </c>
      <c r="F2067" s="9">
        <f>ведомство!I2685</f>
        <v>480</v>
      </c>
      <c r="G2067" s="9">
        <f>ведомство!J2685</f>
        <v>480</v>
      </c>
      <c r="H2067" s="9">
        <f>ведомство!K2685</f>
        <v>322.37554</v>
      </c>
      <c r="I2067" s="9">
        <f t="shared" si="1112"/>
        <v>51.235781945327396</v>
      </c>
      <c r="J2067" s="9">
        <f t="shared" si="1113"/>
        <v>67.161570833333329</v>
      </c>
    </row>
    <row r="2068" spans="1:10">
      <c r="A2068" s="8" t="s">
        <v>72</v>
      </c>
      <c r="B2068" s="1" t="s">
        <v>1027</v>
      </c>
      <c r="C2068" s="1" t="s">
        <v>73</v>
      </c>
      <c r="D2068" s="9">
        <f>D2069</f>
        <v>18</v>
      </c>
      <c r="E2068" s="9">
        <f>E2069</f>
        <v>18</v>
      </c>
      <c r="F2068" s="9">
        <f t="shared" ref="F2068:G2068" si="1117">F2069</f>
        <v>13.5</v>
      </c>
      <c r="G2068" s="9">
        <f t="shared" si="1117"/>
        <v>13.5</v>
      </c>
      <c r="H2068" s="9">
        <f>H2069</f>
        <v>13.059000000000001</v>
      </c>
      <c r="I2068" s="9">
        <f t="shared" si="1112"/>
        <v>72.55</v>
      </c>
      <c r="J2068" s="9">
        <f t="shared" si="1113"/>
        <v>96.733333333333334</v>
      </c>
    </row>
    <row r="2069" spans="1:10">
      <c r="A2069" s="8" t="s">
        <v>74</v>
      </c>
      <c r="B2069" s="1" t="s">
        <v>1027</v>
      </c>
      <c r="C2069" s="1" t="s">
        <v>75</v>
      </c>
      <c r="D2069" s="9">
        <f>ведомство!G2687</f>
        <v>18</v>
      </c>
      <c r="E2069" s="9">
        <f>ведомство!H2687</f>
        <v>18</v>
      </c>
      <c r="F2069" s="9">
        <f>ведомство!I2687</f>
        <v>13.5</v>
      </c>
      <c r="G2069" s="9">
        <f>ведомство!J2687</f>
        <v>13.5</v>
      </c>
      <c r="H2069" s="9">
        <f>ведомство!K2687</f>
        <v>13.059000000000001</v>
      </c>
      <c r="I2069" s="9">
        <f t="shared" si="1112"/>
        <v>72.55</v>
      </c>
      <c r="J2069" s="9">
        <f t="shared" si="1113"/>
        <v>96.733333333333334</v>
      </c>
    </row>
    <row r="2070" spans="1:10">
      <c r="A2070" s="4" t="s">
        <v>0</v>
      </c>
      <c r="B2070" s="17" t="s">
        <v>0</v>
      </c>
      <c r="C2070" s="5" t="s">
        <v>0</v>
      </c>
      <c r="D2070" s="7" t="s">
        <v>0</v>
      </c>
      <c r="E2070" s="7" t="s">
        <v>0</v>
      </c>
      <c r="F2070" s="7" t="s">
        <v>0</v>
      </c>
      <c r="G2070" s="7" t="s">
        <v>0</v>
      </c>
      <c r="H2070" s="7" t="s">
        <v>0</v>
      </c>
      <c r="I2070" s="7"/>
      <c r="J2070" s="7"/>
    </row>
    <row r="2071" spans="1:10" ht="25.5">
      <c r="A2071" s="4" t="s">
        <v>1002</v>
      </c>
      <c r="B2071" s="5" t="s">
        <v>1003</v>
      </c>
      <c r="C2071" s="5" t="s">
        <v>0</v>
      </c>
      <c r="D2071" s="7">
        <f>D2072</f>
        <v>46702.1</v>
      </c>
      <c r="E2071" s="7">
        <f>E2072</f>
        <v>46702.059600000001</v>
      </c>
      <c r="F2071" s="7">
        <f t="shared" ref="F2071:G2071" si="1118">F2072</f>
        <v>37382.859600000003</v>
      </c>
      <c r="G2071" s="7">
        <f t="shared" si="1118"/>
        <v>35176.600000000006</v>
      </c>
      <c r="H2071" s="7">
        <f>H2072</f>
        <v>34212.060479999993</v>
      </c>
      <c r="I2071" s="7">
        <f t="shared" si="1112"/>
        <v>73.255999356396671</v>
      </c>
      <c r="J2071" s="7">
        <f t="shared" si="1113"/>
        <v>91.518040208994577</v>
      </c>
    </row>
    <row r="2072" spans="1:10" ht="25.5">
      <c r="A2072" s="8" t="s">
        <v>58</v>
      </c>
      <c r="B2072" s="1" t="s">
        <v>1004</v>
      </c>
      <c r="C2072" s="1" t="s">
        <v>0</v>
      </c>
      <c r="D2072" s="9">
        <f>D2073+D2075+D2077</f>
        <v>46702.1</v>
      </c>
      <c r="E2072" s="9">
        <f>E2073+E2075+E2077</f>
        <v>46702.059600000001</v>
      </c>
      <c r="F2072" s="9">
        <f t="shared" ref="F2072:G2072" si="1119">F2073+F2075+F2077</f>
        <v>37382.859600000003</v>
      </c>
      <c r="G2072" s="9">
        <f t="shared" si="1119"/>
        <v>35176.600000000006</v>
      </c>
      <c r="H2072" s="9">
        <f>H2073+H2075+H2077</f>
        <v>34212.060479999993</v>
      </c>
      <c r="I2072" s="9">
        <f t="shared" si="1112"/>
        <v>73.255999356396671</v>
      </c>
      <c r="J2072" s="9">
        <f t="shared" si="1113"/>
        <v>91.518040208994577</v>
      </c>
    </row>
    <row r="2073" spans="1:10" ht="51">
      <c r="A2073" s="8" t="s">
        <v>60</v>
      </c>
      <c r="B2073" s="1" t="s">
        <v>1004</v>
      </c>
      <c r="C2073" s="1" t="s">
        <v>61</v>
      </c>
      <c r="D2073" s="9">
        <f>D2074</f>
        <v>43432.800000000003</v>
      </c>
      <c r="E2073" s="9">
        <f>E2074</f>
        <v>43432.800000000003</v>
      </c>
      <c r="F2073" s="9">
        <f t="shared" ref="F2073:G2073" si="1120">F2074</f>
        <v>34639.300000000003</v>
      </c>
      <c r="G2073" s="9">
        <f t="shared" si="1120"/>
        <v>33029.300000000003</v>
      </c>
      <c r="H2073" s="9">
        <f>H2074</f>
        <v>32148.073229999998</v>
      </c>
      <c r="I2073" s="9">
        <f t="shared" si="1112"/>
        <v>74.017961609659054</v>
      </c>
      <c r="J2073" s="9">
        <f t="shared" si="1113"/>
        <v>92.808091474134855</v>
      </c>
    </row>
    <row r="2074" spans="1:10" ht="25.5">
      <c r="A2074" s="8" t="s">
        <v>62</v>
      </c>
      <c r="B2074" s="1" t="s">
        <v>1004</v>
      </c>
      <c r="C2074" s="1" t="s">
        <v>63</v>
      </c>
      <c r="D2074" s="9">
        <f>ведомство!G2643</f>
        <v>43432.800000000003</v>
      </c>
      <c r="E2074" s="9">
        <f>ведомство!H2643</f>
        <v>43432.800000000003</v>
      </c>
      <c r="F2074" s="9">
        <f>ведомство!I2643</f>
        <v>34639.300000000003</v>
      </c>
      <c r="G2074" s="9">
        <f>ведомство!J2643</f>
        <v>33029.300000000003</v>
      </c>
      <c r="H2074" s="9">
        <f>ведомство!K2643</f>
        <v>32148.073229999998</v>
      </c>
      <c r="I2074" s="9">
        <f t="shared" si="1112"/>
        <v>74.017961609659054</v>
      </c>
      <c r="J2074" s="9">
        <f t="shared" si="1113"/>
        <v>92.808091474134855</v>
      </c>
    </row>
    <row r="2075" spans="1:10" ht="25.5">
      <c r="A2075" s="8" t="s">
        <v>64</v>
      </c>
      <c r="B2075" s="1" t="s">
        <v>1004</v>
      </c>
      <c r="C2075" s="1" t="s">
        <v>65</v>
      </c>
      <c r="D2075" s="9">
        <f>D2076</f>
        <v>3019.6</v>
      </c>
      <c r="E2075" s="9">
        <f>E2076</f>
        <v>2989.5596</v>
      </c>
      <c r="F2075" s="9">
        <f t="shared" ref="F2075:G2075" si="1121">F2076</f>
        <v>2466.5596</v>
      </c>
      <c r="G2075" s="9">
        <f t="shared" si="1121"/>
        <v>1873</v>
      </c>
      <c r="H2075" s="9">
        <f>H2076</f>
        <v>1808.89327</v>
      </c>
      <c r="I2075" s="9">
        <f t="shared" si="1112"/>
        <v>60.507014812482751</v>
      </c>
      <c r="J2075" s="9">
        <f t="shared" si="1113"/>
        <v>73.336694154886828</v>
      </c>
    </row>
    <row r="2076" spans="1:10" ht="25.5">
      <c r="A2076" s="8" t="s">
        <v>66</v>
      </c>
      <c r="B2076" s="1" t="s">
        <v>1004</v>
      </c>
      <c r="C2076" s="1" t="s">
        <v>67</v>
      </c>
      <c r="D2076" s="9">
        <f>ведомство!G2645</f>
        <v>3019.6</v>
      </c>
      <c r="E2076" s="9">
        <f>ведомство!H2645</f>
        <v>2989.5596</v>
      </c>
      <c r="F2076" s="9">
        <f>ведомство!I2645</f>
        <v>2466.5596</v>
      </c>
      <c r="G2076" s="9">
        <f>ведомство!J2645</f>
        <v>1873</v>
      </c>
      <c r="H2076" s="9">
        <f>ведомство!K2645</f>
        <v>1808.89327</v>
      </c>
      <c r="I2076" s="9">
        <f t="shared" si="1112"/>
        <v>60.507014812482751</v>
      </c>
      <c r="J2076" s="9">
        <f t="shared" si="1113"/>
        <v>73.336694154886828</v>
      </c>
    </row>
    <row r="2077" spans="1:10">
      <c r="A2077" s="8" t="s">
        <v>72</v>
      </c>
      <c r="B2077" s="1" t="s">
        <v>1004</v>
      </c>
      <c r="C2077" s="1" t="s">
        <v>73</v>
      </c>
      <c r="D2077" s="9">
        <f>D2078+D2079</f>
        <v>249.7</v>
      </c>
      <c r="E2077" s="9">
        <f>E2078+E2079</f>
        <v>279.7</v>
      </c>
      <c r="F2077" s="9">
        <f t="shared" ref="F2077:G2077" si="1122">F2078+F2079</f>
        <v>277</v>
      </c>
      <c r="G2077" s="9">
        <f t="shared" si="1122"/>
        <v>274.3</v>
      </c>
      <c r="H2077" s="9">
        <f>H2078+H2079</f>
        <v>255.09397999999999</v>
      </c>
      <c r="I2077" s="9">
        <f t="shared" si="1112"/>
        <v>91.202710046478359</v>
      </c>
      <c r="J2077" s="9">
        <f t="shared" si="1113"/>
        <v>92.091689530685912</v>
      </c>
    </row>
    <row r="2078" spans="1:10">
      <c r="A2078" s="8" t="s">
        <v>84</v>
      </c>
      <c r="B2078" s="1" t="s">
        <v>1004</v>
      </c>
      <c r="C2078" s="1" t="s">
        <v>85</v>
      </c>
      <c r="D2078" s="9">
        <f>ведомство!G2647</f>
        <v>200</v>
      </c>
      <c r="E2078" s="9">
        <f>ведомство!H2647</f>
        <v>230</v>
      </c>
      <c r="F2078" s="9">
        <f>ведомство!I2647</f>
        <v>230</v>
      </c>
      <c r="G2078" s="9">
        <f>ведомство!J2647</f>
        <v>227.3</v>
      </c>
      <c r="H2078" s="9">
        <f>ведомство!K2647</f>
        <v>227.26998</v>
      </c>
      <c r="I2078" s="9">
        <f t="shared" si="1112"/>
        <v>98.813034782608696</v>
      </c>
      <c r="J2078" s="9">
        <f t="shared" si="1113"/>
        <v>98.813034782608696</v>
      </c>
    </row>
    <row r="2079" spans="1:10">
      <c r="A2079" s="8" t="s">
        <v>74</v>
      </c>
      <c r="B2079" s="1" t="s">
        <v>1004</v>
      </c>
      <c r="C2079" s="1" t="s">
        <v>75</v>
      </c>
      <c r="D2079" s="9">
        <f>ведомство!G2648</f>
        <v>49.7</v>
      </c>
      <c r="E2079" s="9">
        <f>ведомство!H2648</f>
        <v>49.7</v>
      </c>
      <c r="F2079" s="9">
        <f>ведомство!I2648</f>
        <v>47</v>
      </c>
      <c r="G2079" s="9">
        <f>ведомство!J2648</f>
        <v>47</v>
      </c>
      <c r="H2079" s="9">
        <f>ведомство!K2648</f>
        <v>27.823999999999998</v>
      </c>
      <c r="I2079" s="9">
        <f t="shared" si="1112"/>
        <v>55.983903420523127</v>
      </c>
      <c r="J2079" s="9">
        <f t="shared" si="1113"/>
        <v>59.199999999999996</v>
      </c>
    </row>
    <row r="2080" spans="1:10">
      <c r="A2080" s="4" t="s">
        <v>0</v>
      </c>
      <c r="B2080" s="17" t="s">
        <v>0</v>
      </c>
      <c r="C2080" s="5" t="s">
        <v>0</v>
      </c>
      <c r="D2080" s="7" t="s">
        <v>0</v>
      </c>
      <c r="E2080" s="7" t="s">
        <v>0</v>
      </c>
      <c r="F2080" s="7" t="s">
        <v>0</v>
      </c>
      <c r="G2080" s="7" t="s">
        <v>0</v>
      </c>
      <c r="H2080" s="7" t="s">
        <v>0</v>
      </c>
      <c r="I2080" s="7"/>
      <c r="J2080" s="7"/>
    </row>
    <row r="2081" spans="1:11" ht="25.5">
      <c r="A2081" s="4" t="s">
        <v>936</v>
      </c>
      <c r="B2081" s="5" t="s">
        <v>937</v>
      </c>
      <c r="C2081" s="5" t="s">
        <v>0</v>
      </c>
      <c r="D2081" s="7">
        <f>D2082</f>
        <v>15055</v>
      </c>
      <c r="E2081" s="7">
        <f>E2082</f>
        <v>15055</v>
      </c>
      <c r="F2081" s="7">
        <f t="shared" ref="F2081:G2081" si="1123">F2082</f>
        <v>11631.65</v>
      </c>
      <c r="G2081" s="7">
        <f t="shared" si="1123"/>
        <v>11631.65</v>
      </c>
      <c r="H2081" s="7">
        <f>H2082</f>
        <v>9514.7857400000012</v>
      </c>
      <c r="I2081" s="7">
        <f t="shared" si="1112"/>
        <v>63.200170973098643</v>
      </c>
      <c r="J2081" s="7">
        <f t="shared" si="1113"/>
        <v>81.800825678214196</v>
      </c>
    </row>
    <row r="2082" spans="1:11" ht="25.5">
      <c r="A2082" s="8" t="s">
        <v>58</v>
      </c>
      <c r="B2082" s="1" t="s">
        <v>938</v>
      </c>
      <c r="C2082" s="1" t="s">
        <v>0</v>
      </c>
      <c r="D2082" s="9">
        <f>D2083+D2085+D2087</f>
        <v>15055</v>
      </c>
      <c r="E2082" s="9">
        <f>E2083+E2085+E2087</f>
        <v>15055</v>
      </c>
      <c r="F2082" s="9">
        <f t="shared" ref="F2082:G2082" si="1124">F2083+F2085+F2087</f>
        <v>11631.65</v>
      </c>
      <c r="G2082" s="9">
        <f t="shared" si="1124"/>
        <v>11631.65</v>
      </c>
      <c r="H2082" s="9">
        <f>H2083+H2085+H2087</f>
        <v>9514.7857400000012</v>
      </c>
      <c r="I2082" s="9">
        <f t="shared" si="1112"/>
        <v>63.200170973098643</v>
      </c>
      <c r="J2082" s="9">
        <f t="shared" si="1113"/>
        <v>81.800825678214196</v>
      </c>
    </row>
    <row r="2083" spans="1:11" ht="51">
      <c r="A2083" s="8" t="s">
        <v>60</v>
      </c>
      <c r="B2083" s="1" t="s">
        <v>938</v>
      </c>
      <c r="C2083" s="1" t="s">
        <v>61</v>
      </c>
      <c r="D2083" s="9">
        <f>D2084</f>
        <v>14510.3</v>
      </c>
      <c r="E2083" s="9">
        <f>E2084</f>
        <v>14510.3</v>
      </c>
      <c r="F2083" s="9">
        <f t="shared" ref="F2083:G2083" si="1125">F2084</f>
        <v>11205.9</v>
      </c>
      <c r="G2083" s="9">
        <f t="shared" si="1125"/>
        <v>11205.9</v>
      </c>
      <c r="H2083" s="9">
        <f>H2084</f>
        <v>9177.0773900000004</v>
      </c>
      <c r="I2083" s="9">
        <f t="shared" si="1112"/>
        <v>63.245262951145051</v>
      </c>
      <c r="J2083" s="9">
        <f t="shared" si="1113"/>
        <v>81.895049839816537</v>
      </c>
    </row>
    <row r="2084" spans="1:11" ht="25.5">
      <c r="A2084" s="8" t="s">
        <v>62</v>
      </c>
      <c r="B2084" s="1" t="s">
        <v>938</v>
      </c>
      <c r="C2084" s="1" t="s">
        <v>63</v>
      </c>
      <c r="D2084" s="9">
        <f>ведомство!G2431</f>
        <v>14510.3</v>
      </c>
      <c r="E2084" s="9">
        <f>ведомство!H2431</f>
        <v>14510.3</v>
      </c>
      <c r="F2084" s="9">
        <f>ведомство!I2431</f>
        <v>11205.9</v>
      </c>
      <c r="G2084" s="9">
        <f>ведомство!J2431</f>
        <v>11205.9</v>
      </c>
      <c r="H2084" s="9">
        <f>ведомство!K2431</f>
        <v>9177.0773900000004</v>
      </c>
      <c r="I2084" s="9">
        <f t="shared" si="1112"/>
        <v>63.245262951145051</v>
      </c>
      <c r="J2084" s="9">
        <f t="shared" si="1113"/>
        <v>81.895049839816537</v>
      </c>
    </row>
    <row r="2085" spans="1:11" ht="25.5">
      <c r="A2085" s="8" t="s">
        <v>64</v>
      </c>
      <c r="B2085" s="1" t="s">
        <v>938</v>
      </c>
      <c r="C2085" s="1" t="s">
        <v>65</v>
      </c>
      <c r="D2085" s="9">
        <f>D2086</f>
        <v>543.70000000000005</v>
      </c>
      <c r="E2085" s="9">
        <f>E2086</f>
        <v>543.70000000000005</v>
      </c>
      <c r="F2085" s="9">
        <f t="shared" ref="F2085:G2085" si="1126">F2086</f>
        <v>425</v>
      </c>
      <c r="G2085" s="9">
        <f t="shared" si="1126"/>
        <v>425</v>
      </c>
      <c r="H2085" s="9">
        <f>H2086</f>
        <v>337.52834999999999</v>
      </c>
      <c r="I2085" s="9">
        <f t="shared" si="1112"/>
        <v>62.079887805775236</v>
      </c>
      <c r="J2085" s="9">
        <f t="shared" si="1113"/>
        <v>79.418435294117643</v>
      </c>
    </row>
    <row r="2086" spans="1:11" ht="25.5">
      <c r="A2086" s="8" t="s">
        <v>66</v>
      </c>
      <c r="B2086" s="1" t="s">
        <v>938</v>
      </c>
      <c r="C2086" s="1" t="s">
        <v>67</v>
      </c>
      <c r="D2086" s="9">
        <f>ведомство!G2433</f>
        <v>543.70000000000005</v>
      </c>
      <c r="E2086" s="9">
        <f>ведомство!H2433</f>
        <v>543.70000000000005</v>
      </c>
      <c r="F2086" s="9">
        <f>ведомство!I2433</f>
        <v>425</v>
      </c>
      <c r="G2086" s="9">
        <f>ведомство!J2433</f>
        <v>425</v>
      </c>
      <c r="H2086" s="9">
        <f>ведомство!K2433</f>
        <v>337.52834999999999</v>
      </c>
      <c r="I2086" s="9">
        <f t="shared" si="1112"/>
        <v>62.079887805775236</v>
      </c>
      <c r="J2086" s="9">
        <f t="shared" si="1113"/>
        <v>79.418435294117643</v>
      </c>
    </row>
    <row r="2087" spans="1:11">
      <c r="A2087" s="8" t="s">
        <v>72</v>
      </c>
      <c r="B2087" s="1" t="s">
        <v>938</v>
      </c>
      <c r="C2087" s="1" t="s">
        <v>73</v>
      </c>
      <c r="D2087" s="9">
        <f>D2088</f>
        <v>1</v>
      </c>
      <c r="E2087" s="9">
        <f>E2088</f>
        <v>1</v>
      </c>
      <c r="F2087" s="9">
        <f t="shared" ref="F2087:G2087" si="1127">F2088</f>
        <v>0.75</v>
      </c>
      <c r="G2087" s="9">
        <f t="shared" si="1127"/>
        <v>0.75</v>
      </c>
      <c r="H2087" s="9">
        <f>H2088</f>
        <v>0.18</v>
      </c>
      <c r="I2087" s="9">
        <f t="shared" si="1112"/>
        <v>18</v>
      </c>
      <c r="J2087" s="9">
        <f t="shared" si="1113"/>
        <v>24</v>
      </c>
    </row>
    <row r="2088" spans="1:11">
      <c r="A2088" s="8" t="s">
        <v>74</v>
      </c>
      <c r="B2088" s="1" t="s">
        <v>938</v>
      </c>
      <c r="C2088" s="1" t="s">
        <v>75</v>
      </c>
      <c r="D2088" s="9">
        <f>ведомство!G2435</f>
        <v>1</v>
      </c>
      <c r="E2088" s="9">
        <f>ведомство!H2435</f>
        <v>1</v>
      </c>
      <c r="F2088" s="9">
        <f>ведомство!I2435</f>
        <v>0.75</v>
      </c>
      <c r="G2088" s="9">
        <f>ведомство!J2435</f>
        <v>0.75</v>
      </c>
      <c r="H2088" s="9">
        <f>ведомство!K2435</f>
        <v>0.18</v>
      </c>
      <c r="I2088" s="9">
        <f t="shared" si="1112"/>
        <v>18</v>
      </c>
      <c r="J2088" s="9">
        <f t="shared" si="1113"/>
        <v>24</v>
      </c>
    </row>
    <row r="2089" spans="1:11" s="42" customFormat="1">
      <c r="A2089" s="8"/>
      <c r="B2089" s="1"/>
      <c r="C2089" s="1"/>
      <c r="D2089" s="9"/>
      <c r="E2089" s="9"/>
      <c r="F2089" s="9"/>
      <c r="G2089" s="9"/>
      <c r="H2089" s="9"/>
      <c r="I2089" s="9"/>
      <c r="J2089" s="9"/>
    </row>
    <row r="2090" spans="1:11" s="42" customFormat="1" ht="38.25">
      <c r="A2090" s="34" t="s">
        <v>1193</v>
      </c>
      <c r="B2090" s="33" t="s">
        <v>1192</v>
      </c>
      <c r="C2090" s="1"/>
      <c r="D2090" s="23">
        <f>D2091+D2097</f>
        <v>0</v>
      </c>
      <c r="E2090" s="23">
        <f>E2091+E2097</f>
        <v>9127.0892999999996</v>
      </c>
      <c r="F2090" s="23">
        <f t="shared" ref="F2090:G2090" si="1128">F2091+F2097</f>
        <v>9127.0892999999996</v>
      </c>
      <c r="G2090" s="23">
        <f t="shared" si="1128"/>
        <v>9127.0892999999996</v>
      </c>
      <c r="H2090" s="23">
        <f>H2091+H2097</f>
        <v>9127.0892999999996</v>
      </c>
      <c r="I2090" s="23">
        <f t="shared" ref="I2090:I2102" si="1129">H2090/E2090*100</f>
        <v>100</v>
      </c>
      <c r="J2090" s="23">
        <f t="shared" ref="J2090:J2102" si="1130">H2090/F2090*100</f>
        <v>100</v>
      </c>
    </row>
    <row r="2091" spans="1:11" s="42" customFormat="1">
      <c r="A2091" s="8" t="s">
        <v>1195</v>
      </c>
      <c r="B2091" s="24" t="s">
        <v>1210</v>
      </c>
      <c r="C2091" s="48"/>
      <c r="D2091" s="9">
        <f>D2092</f>
        <v>0</v>
      </c>
      <c r="E2091" s="9">
        <f>E2092</f>
        <v>5863.8861900000002</v>
      </c>
      <c r="F2091" s="9">
        <f t="shared" ref="F2091:G2091" si="1131">F2092</f>
        <v>5863.8861900000002</v>
      </c>
      <c r="G2091" s="9">
        <f t="shared" si="1131"/>
        <v>5863.8861900000002</v>
      </c>
      <c r="H2091" s="9">
        <f>H2092</f>
        <v>5863.8861900000002</v>
      </c>
      <c r="I2091" s="9">
        <f t="shared" si="1129"/>
        <v>100</v>
      </c>
      <c r="J2091" s="9">
        <f t="shared" si="1130"/>
        <v>100</v>
      </c>
    </row>
    <row r="2092" spans="1:11" s="42" customFormat="1" ht="25.5">
      <c r="A2092" s="8" t="s">
        <v>1197</v>
      </c>
      <c r="B2092" s="24" t="s">
        <v>1196</v>
      </c>
      <c r="C2092" s="48"/>
      <c r="D2092" s="9">
        <f>D2093+D2095</f>
        <v>0</v>
      </c>
      <c r="E2092" s="9">
        <f>E2093+E2095</f>
        <v>5863.8861900000002</v>
      </c>
      <c r="F2092" s="9">
        <f t="shared" ref="F2092:G2092" si="1132">F2093+F2095</f>
        <v>5863.8861900000002</v>
      </c>
      <c r="G2092" s="9">
        <f t="shared" si="1132"/>
        <v>5863.8861900000002</v>
      </c>
      <c r="H2092" s="9">
        <f>H2093+H2095</f>
        <v>5863.8861900000002</v>
      </c>
      <c r="I2092" s="9">
        <f t="shared" si="1129"/>
        <v>100</v>
      </c>
      <c r="J2092" s="9">
        <f t="shared" si="1130"/>
        <v>100</v>
      </c>
    </row>
    <row r="2093" spans="1:11" s="42" customFormat="1" ht="51">
      <c r="A2093" s="8" t="s">
        <v>60</v>
      </c>
      <c r="B2093" s="24" t="s">
        <v>1196</v>
      </c>
      <c r="C2093" s="1">
        <v>100</v>
      </c>
      <c r="D2093" s="9">
        <f>D2094</f>
        <v>0</v>
      </c>
      <c r="E2093" s="9">
        <f>E2094</f>
        <v>5308.4117900000001</v>
      </c>
      <c r="F2093" s="9">
        <f t="shared" ref="F2093:G2093" si="1133">F2094</f>
        <v>5308.4117900000001</v>
      </c>
      <c r="G2093" s="9">
        <f t="shared" si="1133"/>
        <v>5308.4117900000001</v>
      </c>
      <c r="H2093" s="9">
        <f>H2094</f>
        <v>5308.4117900000001</v>
      </c>
      <c r="I2093" s="9">
        <f t="shared" si="1129"/>
        <v>100</v>
      </c>
      <c r="J2093" s="9">
        <f t="shared" si="1130"/>
        <v>100</v>
      </c>
    </row>
    <row r="2094" spans="1:11" s="42" customFormat="1" ht="25.5">
      <c r="A2094" s="8" t="s">
        <v>62</v>
      </c>
      <c r="B2094" s="24" t="s">
        <v>1196</v>
      </c>
      <c r="C2094" s="1">
        <v>120</v>
      </c>
      <c r="D2094" s="9">
        <f>ведомство!G2450</f>
        <v>0</v>
      </c>
      <c r="E2094" s="9">
        <f>ведомство!H2450</f>
        <v>5308.4117900000001</v>
      </c>
      <c r="F2094" s="9">
        <f>ведомство!I2450</f>
        <v>5308.4117900000001</v>
      </c>
      <c r="G2094" s="9">
        <f>ведомство!J2450</f>
        <v>5308.4117900000001</v>
      </c>
      <c r="H2094" s="9">
        <f>ведомство!K2450</f>
        <v>5308.4117900000001</v>
      </c>
      <c r="I2094" s="9">
        <f t="shared" si="1129"/>
        <v>100</v>
      </c>
      <c r="J2094" s="9">
        <f t="shared" si="1130"/>
        <v>100</v>
      </c>
      <c r="K2094" s="98"/>
    </row>
    <row r="2095" spans="1:11" s="42" customFormat="1" ht="25.5">
      <c r="A2095" s="8" t="s">
        <v>64</v>
      </c>
      <c r="B2095" s="24" t="s">
        <v>1196</v>
      </c>
      <c r="C2095" s="1">
        <v>200</v>
      </c>
      <c r="D2095" s="9">
        <f>D2096</f>
        <v>0</v>
      </c>
      <c r="E2095" s="9">
        <f>E2096</f>
        <v>555.47439999999995</v>
      </c>
      <c r="F2095" s="9">
        <f t="shared" ref="F2095:G2095" si="1134">F2096</f>
        <v>555.47439999999995</v>
      </c>
      <c r="G2095" s="9">
        <f t="shared" si="1134"/>
        <v>555.47439999999995</v>
      </c>
      <c r="H2095" s="9">
        <f>H2096</f>
        <v>555.47439999999995</v>
      </c>
      <c r="I2095" s="9">
        <f t="shared" si="1129"/>
        <v>100</v>
      </c>
      <c r="J2095" s="9">
        <f t="shared" si="1130"/>
        <v>100</v>
      </c>
      <c r="K2095" s="98"/>
    </row>
    <row r="2096" spans="1:11" s="42" customFormat="1" ht="25.5">
      <c r="A2096" s="8" t="s">
        <v>66</v>
      </c>
      <c r="B2096" s="24" t="s">
        <v>1196</v>
      </c>
      <c r="C2096" s="1">
        <v>240</v>
      </c>
      <c r="D2096" s="9">
        <f>ведомство!G2452</f>
        <v>0</v>
      </c>
      <c r="E2096" s="9">
        <f>ведомство!H2452</f>
        <v>555.47439999999995</v>
      </c>
      <c r="F2096" s="9">
        <f>ведомство!I2452</f>
        <v>555.47439999999995</v>
      </c>
      <c r="G2096" s="9">
        <f>ведомство!J2452</f>
        <v>555.47439999999995</v>
      </c>
      <c r="H2096" s="9">
        <f>ведомство!K2452</f>
        <v>555.47439999999995</v>
      </c>
      <c r="I2096" s="9">
        <f t="shared" si="1129"/>
        <v>100</v>
      </c>
      <c r="J2096" s="9">
        <f t="shared" si="1130"/>
        <v>100</v>
      </c>
      <c r="K2096" s="98"/>
    </row>
    <row r="2097" spans="1:11" s="42" customFormat="1" ht="25.5">
      <c r="A2097" s="8" t="s">
        <v>1199</v>
      </c>
      <c r="B2097" s="24" t="s">
        <v>1198</v>
      </c>
      <c r="C2097" s="1"/>
      <c r="D2097" s="9">
        <f>D2098</f>
        <v>0</v>
      </c>
      <c r="E2097" s="9">
        <f>E2098</f>
        <v>3263.2031099999999</v>
      </c>
      <c r="F2097" s="9">
        <f t="shared" ref="F2097:G2097" si="1135">F2098</f>
        <v>3263.2031099999999</v>
      </c>
      <c r="G2097" s="9">
        <f t="shared" si="1135"/>
        <v>3263.2031099999999</v>
      </c>
      <c r="H2097" s="9">
        <f>H2098</f>
        <v>3263.2031099999999</v>
      </c>
      <c r="I2097" s="9">
        <f t="shared" si="1129"/>
        <v>100</v>
      </c>
      <c r="J2097" s="9">
        <f t="shared" si="1130"/>
        <v>100</v>
      </c>
      <c r="K2097" s="98"/>
    </row>
    <row r="2098" spans="1:11" s="42" customFormat="1" ht="25.5">
      <c r="A2098" s="8" t="s">
        <v>1201</v>
      </c>
      <c r="B2098" s="24" t="s">
        <v>1200</v>
      </c>
      <c r="C2098" s="1"/>
      <c r="D2098" s="9">
        <f>D2099+D2101</f>
        <v>0</v>
      </c>
      <c r="E2098" s="9">
        <f>E2099+E2101</f>
        <v>3263.2031099999999</v>
      </c>
      <c r="F2098" s="9">
        <f t="shared" ref="F2098:G2098" si="1136">F2099+F2101</f>
        <v>3263.2031099999999</v>
      </c>
      <c r="G2098" s="9">
        <f t="shared" si="1136"/>
        <v>3263.2031099999999</v>
      </c>
      <c r="H2098" s="9">
        <f>H2099+H2101</f>
        <v>3263.2031099999999</v>
      </c>
      <c r="I2098" s="9">
        <f t="shared" si="1129"/>
        <v>100</v>
      </c>
      <c r="J2098" s="9">
        <f t="shared" si="1130"/>
        <v>100</v>
      </c>
      <c r="K2098" s="47"/>
    </row>
    <row r="2099" spans="1:11" s="42" customFormat="1" ht="51">
      <c r="A2099" s="8" t="s">
        <v>60</v>
      </c>
      <c r="B2099" s="24" t="s">
        <v>1200</v>
      </c>
      <c r="C2099" s="1">
        <v>100</v>
      </c>
      <c r="D2099" s="9">
        <f>D2100</f>
        <v>0</v>
      </c>
      <c r="E2099" s="9">
        <f>E2100</f>
        <v>3028.7854899999998</v>
      </c>
      <c r="F2099" s="9">
        <f t="shared" ref="F2099:G2099" si="1137">F2100</f>
        <v>3028.7854899999998</v>
      </c>
      <c r="G2099" s="9">
        <f t="shared" si="1137"/>
        <v>3028.7854899999998</v>
      </c>
      <c r="H2099" s="9">
        <f>H2100</f>
        <v>3028.7854899999998</v>
      </c>
      <c r="I2099" s="9">
        <f t="shared" si="1129"/>
        <v>100</v>
      </c>
      <c r="J2099" s="9">
        <f t="shared" si="1130"/>
        <v>100</v>
      </c>
      <c r="K2099" s="47"/>
    </row>
    <row r="2100" spans="1:11" s="42" customFormat="1" ht="25.5">
      <c r="A2100" s="8" t="s">
        <v>62</v>
      </c>
      <c r="B2100" s="24" t="s">
        <v>1200</v>
      </c>
      <c r="C2100" s="1">
        <v>120</v>
      </c>
      <c r="D2100" s="9">
        <f>ведомство!G2456</f>
        <v>0</v>
      </c>
      <c r="E2100" s="9">
        <f>ведомство!H2456</f>
        <v>3028.7854899999998</v>
      </c>
      <c r="F2100" s="9">
        <f>ведомство!I2456</f>
        <v>3028.7854899999998</v>
      </c>
      <c r="G2100" s="9">
        <f>ведомство!J2456</f>
        <v>3028.7854899999998</v>
      </c>
      <c r="H2100" s="9">
        <f>ведомство!K2456</f>
        <v>3028.7854899999998</v>
      </c>
      <c r="I2100" s="9">
        <f t="shared" si="1129"/>
        <v>100</v>
      </c>
      <c r="J2100" s="9">
        <f t="shared" si="1130"/>
        <v>100</v>
      </c>
      <c r="K2100" s="47"/>
    </row>
    <row r="2101" spans="1:11" s="42" customFormat="1" ht="25.5">
      <c r="A2101" s="8" t="s">
        <v>64</v>
      </c>
      <c r="B2101" s="24" t="s">
        <v>1200</v>
      </c>
      <c r="C2101" s="1">
        <v>200</v>
      </c>
      <c r="D2101" s="9">
        <f>D2102</f>
        <v>0</v>
      </c>
      <c r="E2101" s="9">
        <f>E2102</f>
        <v>234.41762</v>
      </c>
      <c r="F2101" s="9">
        <f t="shared" ref="F2101:G2101" si="1138">F2102</f>
        <v>234.41762</v>
      </c>
      <c r="G2101" s="9">
        <f t="shared" si="1138"/>
        <v>234.41762</v>
      </c>
      <c r="H2101" s="9">
        <f>H2102</f>
        <v>234.41762</v>
      </c>
      <c r="I2101" s="9">
        <f t="shared" si="1129"/>
        <v>100</v>
      </c>
      <c r="J2101" s="9">
        <f t="shared" si="1130"/>
        <v>100</v>
      </c>
      <c r="K2101" s="47"/>
    </row>
    <row r="2102" spans="1:11" s="42" customFormat="1" ht="25.5">
      <c r="A2102" s="8" t="s">
        <v>66</v>
      </c>
      <c r="B2102" s="24" t="s">
        <v>1200</v>
      </c>
      <c r="C2102" s="1">
        <v>240</v>
      </c>
      <c r="D2102" s="9">
        <f>ведомство!G2458</f>
        <v>0</v>
      </c>
      <c r="E2102" s="9">
        <f>ведомство!H2458</f>
        <v>234.41762</v>
      </c>
      <c r="F2102" s="9">
        <f>ведомство!I2458</f>
        <v>234.41762</v>
      </c>
      <c r="G2102" s="9">
        <f>ведомство!J2458</f>
        <v>234.41762</v>
      </c>
      <c r="H2102" s="9">
        <f>ведомство!K2458</f>
        <v>234.41762</v>
      </c>
      <c r="I2102" s="9">
        <f t="shared" si="1129"/>
        <v>100</v>
      </c>
      <c r="J2102" s="9">
        <f t="shared" si="1130"/>
        <v>100</v>
      </c>
    </row>
    <row r="2103" spans="1:11" s="42" customFormat="1">
      <c r="A2103" s="8"/>
      <c r="B2103" s="1"/>
      <c r="C2103" s="1"/>
      <c r="D2103" s="9"/>
      <c r="E2103" s="9"/>
      <c r="F2103" s="9"/>
      <c r="G2103" s="9"/>
      <c r="H2103" s="9"/>
      <c r="I2103" s="9"/>
      <c r="J2103" s="9"/>
    </row>
    <row r="2104" spans="1:11">
      <c r="A2104" s="4" t="s">
        <v>612</v>
      </c>
      <c r="B2104" s="5" t="s">
        <v>613</v>
      </c>
      <c r="C2104" s="5" t="s">
        <v>0</v>
      </c>
      <c r="D2104" s="7">
        <f>D2105</f>
        <v>216714.8</v>
      </c>
      <c r="E2104" s="7">
        <f>E2105</f>
        <v>216714.80000000005</v>
      </c>
      <c r="F2104" s="7">
        <f t="shared" ref="F2104:G2104" si="1139">F2105</f>
        <v>174086.32137000002</v>
      </c>
      <c r="G2104" s="7">
        <f t="shared" si="1139"/>
        <v>169229.50219</v>
      </c>
      <c r="H2104" s="7">
        <f>H2105</f>
        <v>159465.38493</v>
      </c>
      <c r="I2104" s="7">
        <f t="shared" si="1112"/>
        <v>73.583061669069195</v>
      </c>
      <c r="J2104" s="7">
        <f t="shared" si="1113"/>
        <v>91.601329544482169</v>
      </c>
    </row>
    <row r="2105" spans="1:11">
      <c r="A2105" s="8" t="s">
        <v>612</v>
      </c>
      <c r="B2105" s="1" t="s">
        <v>614</v>
      </c>
      <c r="C2105" s="1" t="s">
        <v>0</v>
      </c>
      <c r="D2105" s="9">
        <f>D2109+D2120+D2114+D2111+D2116+D2106</f>
        <v>216714.8</v>
      </c>
      <c r="E2105" s="9">
        <f>E2109+E2120+E2114+E2111+E2116+E2106</f>
        <v>216714.80000000005</v>
      </c>
      <c r="F2105" s="9">
        <f t="shared" ref="F2105:G2105" si="1140">F2109+F2120+F2114+F2111+F2116+F2106</f>
        <v>174086.32137000002</v>
      </c>
      <c r="G2105" s="9">
        <f t="shared" si="1140"/>
        <v>169229.50219</v>
      </c>
      <c r="H2105" s="9">
        <f>H2109+H2120+H2114+H2111+H2116+H2106</f>
        <v>159465.38493</v>
      </c>
      <c r="I2105" s="9">
        <f t="shared" si="1112"/>
        <v>73.583061669069195</v>
      </c>
      <c r="J2105" s="9">
        <f t="shared" si="1113"/>
        <v>91.601329544482169</v>
      </c>
    </row>
    <row r="2106" spans="1:11" s="42" customFormat="1" ht="51">
      <c r="A2106" s="8" t="s">
        <v>60</v>
      </c>
      <c r="B2106" s="1" t="s">
        <v>614</v>
      </c>
      <c r="C2106" s="1">
        <v>100</v>
      </c>
      <c r="D2106" s="9">
        <f>D2107+D2108</f>
        <v>0</v>
      </c>
      <c r="E2106" s="9">
        <f>E2107+E2108</f>
        <v>159.5</v>
      </c>
      <c r="F2106" s="9">
        <f t="shared" ref="F2106:G2106" si="1141">F2107+F2108</f>
        <v>159.5</v>
      </c>
      <c r="G2106" s="9">
        <f t="shared" si="1141"/>
        <v>159.5</v>
      </c>
      <c r="H2106" s="9">
        <f>H2107+H2108</f>
        <v>159.5</v>
      </c>
      <c r="I2106" s="9">
        <f t="shared" ref="I2106:I2108" si="1142">H2106/E2106*100</f>
        <v>100</v>
      </c>
      <c r="J2106" s="9">
        <f t="shared" ref="J2106:J2108" si="1143">H2106/F2106*100</f>
        <v>100</v>
      </c>
    </row>
    <row r="2107" spans="1:11" s="42" customFormat="1">
      <c r="A2107" s="8" t="s">
        <v>78</v>
      </c>
      <c r="B2107" s="1" t="s">
        <v>614</v>
      </c>
      <c r="C2107" s="1">
        <v>110</v>
      </c>
      <c r="D2107" s="9">
        <f>ведомство!G2945</f>
        <v>0</v>
      </c>
      <c r="E2107" s="9">
        <f>ведомство!H2945</f>
        <v>51.524999999999999</v>
      </c>
      <c r="F2107" s="9">
        <f>ведомство!I2945</f>
        <v>51.524999999999999</v>
      </c>
      <c r="G2107" s="9">
        <f>ведомство!J2945</f>
        <v>51.524999999999999</v>
      </c>
      <c r="H2107" s="9">
        <f>ведомство!K2945</f>
        <v>51.524999999999999</v>
      </c>
      <c r="I2107" s="9">
        <f t="shared" si="1142"/>
        <v>100</v>
      </c>
      <c r="J2107" s="9">
        <f t="shared" si="1143"/>
        <v>100</v>
      </c>
    </row>
    <row r="2108" spans="1:11" s="42" customFormat="1" ht="25.5">
      <c r="A2108" s="8" t="s">
        <v>62</v>
      </c>
      <c r="B2108" s="1" t="s">
        <v>614</v>
      </c>
      <c r="C2108" s="1">
        <v>120</v>
      </c>
      <c r="D2108" s="9">
        <f>ведомство!G2946</f>
        <v>0</v>
      </c>
      <c r="E2108" s="9">
        <f>ведомство!H2946</f>
        <v>107.97499999999999</v>
      </c>
      <c r="F2108" s="9">
        <f>ведомство!I2946</f>
        <v>107.97499999999999</v>
      </c>
      <c r="G2108" s="9">
        <f>ведомство!J2946</f>
        <v>107.97499999999999</v>
      </c>
      <c r="H2108" s="9">
        <f>ведомство!K2946</f>
        <v>107.97499999999999</v>
      </c>
      <c r="I2108" s="9">
        <f t="shared" si="1142"/>
        <v>100</v>
      </c>
      <c r="J2108" s="9">
        <f t="shared" si="1143"/>
        <v>100</v>
      </c>
    </row>
    <row r="2109" spans="1:11" ht="25.5">
      <c r="A2109" s="8" t="s">
        <v>64</v>
      </c>
      <c r="B2109" s="1" t="s">
        <v>614</v>
      </c>
      <c r="C2109" s="1" t="s">
        <v>65</v>
      </c>
      <c r="D2109" s="9">
        <f>D2110</f>
        <v>0</v>
      </c>
      <c r="E2109" s="9">
        <f>E2110</f>
        <v>24706.232670000001</v>
      </c>
      <c r="F2109" s="9">
        <f t="shared" ref="F2109:G2109" si="1144">F2110</f>
        <v>21368.040669999998</v>
      </c>
      <c r="G2109" s="9">
        <f t="shared" si="1144"/>
        <v>16683.085490000001</v>
      </c>
      <c r="H2109" s="9">
        <f>H2110</f>
        <v>16412.00158</v>
      </c>
      <c r="I2109" s="9">
        <f t="shared" si="1112"/>
        <v>66.428588280594383</v>
      </c>
      <c r="J2109" s="9">
        <f t="shared" si="1113"/>
        <v>76.806300743530002</v>
      </c>
    </row>
    <row r="2110" spans="1:11" ht="25.5">
      <c r="A2110" s="8" t="s">
        <v>66</v>
      </c>
      <c r="B2110" s="1" t="s">
        <v>614</v>
      </c>
      <c r="C2110" s="1" t="s">
        <v>67</v>
      </c>
      <c r="D2110" s="9">
        <v>0</v>
      </c>
      <c r="E2110" s="9">
        <f>ведомство!H38+ведомство!H183+ведомство!H745+ведомство!H2565+ведомство!H2948</f>
        <v>24706.232670000001</v>
      </c>
      <c r="F2110" s="9">
        <f>ведомство!I38+ведомство!I183+ведомство!I745+ведомство!I2565+ведомство!I2948</f>
        <v>21368.040669999998</v>
      </c>
      <c r="G2110" s="9">
        <f>ведомство!J38+ведомство!J183+ведомство!J745+ведомство!J2565+ведомство!J2948</f>
        <v>16683.085490000001</v>
      </c>
      <c r="H2110" s="9">
        <f>ведомство!K38+ведомство!K183+ведомство!K745+ведомство!K2565+ведомство!K2948</f>
        <v>16412.00158</v>
      </c>
      <c r="I2110" s="9">
        <f t="shared" si="1112"/>
        <v>66.428588280594383</v>
      </c>
      <c r="J2110" s="9">
        <f t="shared" si="1113"/>
        <v>76.806300743530002</v>
      </c>
    </row>
    <row r="2111" spans="1:11">
      <c r="A2111" s="8" t="s">
        <v>68</v>
      </c>
      <c r="B2111" s="1" t="s">
        <v>614</v>
      </c>
      <c r="C2111" s="1">
        <v>300</v>
      </c>
      <c r="D2111" s="9">
        <f>D2113+D2112</f>
        <v>0</v>
      </c>
      <c r="E2111" s="9">
        <f>E2113+E2112</f>
        <v>2233.4879999999998</v>
      </c>
      <c r="F2111" s="9">
        <f t="shared" ref="F2111:G2111" si="1145">F2113+F2112</f>
        <v>2233.4879999999998</v>
      </c>
      <c r="G2111" s="9">
        <f t="shared" si="1145"/>
        <v>2233.4879999999998</v>
      </c>
      <c r="H2111" s="9">
        <f>H2113+H2112</f>
        <v>1875.4880000000001</v>
      </c>
      <c r="I2111" s="9">
        <f t="shared" si="1112"/>
        <v>83.971259303833307</v>
      </c>
      <c r="J2111" s="9">
        <f t="shared" si="1113"/>
        <v>83.971259303833307</v>
      </c>
    </row>
    <row r="2112" spans="1:11" s="42" customFormat="1" ht="25.5">
      <c r="A2112" s="8" t="s">
        <v>151</v>
      </c>
      <c r="B2112" s="1" t="s">
        <v>614</v>
      </c>
      <c r="C2112" s="1">
        <v>320</v>
      </c>
      <c r="D2112" s="9">
        <f>ведомство!G2139</f>
        <v>0</v>
      </c>
      <c r="E2112" s="9">
        <f>ведомство!H2139</f>
        <v>83.488</v>
      </c>
      <c r="F2112" s="9">
        <f>ведомство!I2139</f>
        <v>83.488</v>
      </c>
      <c r="G2112" s="9">
        <f>ведомство!J2139</f>
        <v>83.488</v>
      </c>
      <c r="H2112" s="9">
        <f>ведомство!K2139</f>
        <v>83.488</v>
      </c>
      <c r="I2112" s="9">
        <f t="shared" ref="I2112" si="1146">H2112/E2112*100</f>
        <v>100</v>
      </c>
      <c r="J2112" s="9">
        <f t="shared" ref="J2112" si="1147">H2112/F2112*100</f>
        <v>100</v>
      </c>
    </row>
    <row r="2113" spans="1:10">
      <c r="A2113" s="25" t="s">
        <v>70</v>
      </c>
      <c r="B2113" s="1" t="s">
        <v>614</v>
      </c>
      <c r="C2113" s="1">
        <v>360</v>
      </c>
      <c r="D2113" s="9">
        <f>ведомство!G494</f>
        <v>0</v>
      </c>
      <c r="E2113" s="9">
        <f>ведомство!H494</f>
        <v>2150</v>
      </c>
      <c r="F2113" s="9">
        <f>ведомство!I494</f>
        <v>2150</v>
      </c>
      <c r="G2113" s="9">
        <f>ведомство!J494</f>
        <v>2150</v>
      </c>
      <c r="H2113" s="9">
        <f>ведомство!K494</f>
        <v>1792</v>
      </c>
      <c r="I2113" s="9">
        <f t="shared" si="1112"/>
        <v>83.348837209302332</v>
      </c>
      <c r="J2113" s="9">
        <f t="shared" si="1113"/>
        <v>83.348837209302332</v>
      </c>
    </row>
    <row r="2114" spans="1:10">
      <c r="A2114" s="8" t="s">
        <v>26</v>
      </c>
      <c r="B2114" s="1" t="s">
        <v>614</v>
      </c>
      <c r="C2114" s="1">
        <v>500</v>
      </c>
      <c r="D2114" s="9">
        <f>D2115</f>
        <v>0</v>
      </c>
      <c r="E2114" s="9">
        <f>E2115</f>
        <v>86737.071960000001</v>
      </c>
      <c r="F2114" s="9">
        <f t="shared" ref="F2114:G2114" si="1148">F2115</f>
        <v>86737.071960000001</v>
      </c>
      <c r="G2114" s="9">
        <f t="shared" si="1148"/>
        <v>86737.071960000001</v>
      </c>
      <c r="H2114" s="9">
        <f>H2115</f>
        <v>84368.013610000009</v>
      </c>
      <c r="I2114" s="9">
        <f t="shared" si="1112"/>
        <v>97.268689965586447</v>
      </c>
      <c r="J2114" s="9">
        <f t="shared" si="1113"/>
        <v>97.268689965586447</v>
      </c>
    </row>
    <row r="2115" spans="1:10">
      <c r="A2115" s="8" t="s">
        <v>352</v>
      </c>
      <c r="B2115" s="1" t="s">
        <v>614</v>
      </c>
      <c r="C2115" s="1">
        <v>540</v>
      </c>
      <c r="D2115" s="9">
        <v>0</v>
      </c>
      <c r="E2115" s="9">
        <f>ведомство!H185+ведомство!H257+ведомство!H358+ведомство!H363+ведомство!H368+ведомство!H790+ведомство!H862+ведомство!H971+ведомство!H1015+ведомство!H1719+ведомство!H2141+ведомство!H2293+ведомство!H2313+ведомство!H2400+ведомство!H2421+ведомство!H2567+ведомство!H124+ведомство!H773+ведомство!H1607+ведомство!H1665+ведомство!H2343</f>
        <v>86737.071960000001</v>
      </c>
      <c r="F2115" s="9">
        <f>ведомство!I185+ведомство!I257+ведомство!I358+ведомство!I363+ведомство!I368+ведомство!I790+ведомство!I862+ведомство!I971+ведомство!I1015+ведомство!I1719+ведомство!I2141+ведомство!I2293+ведомство!I2313+ведомство!I2400+ведомство!I2421+ведомство!I2567+ведомство!I124+ведомство!I773+ведомство!I1607+ведомство!I1665+ведомство!I2343</f>
        <v>86737.071960000001</v>
      </c>
      <c r="G2115" s="9">
        <f>ведомство!J185+ведомство!J257+ведомство!J358+ведомство!J363+ведомство!J368+ведомство!J790+ведомство!J862+ведомство!J971+ведомство!J1015+ведомство!J1719+ведомство!J2141+ведомство!J2293+ведомство!J2313+ведомство!J2400+ведомство!J2421+ведомство!J2567+ведомство!J124+ведомство!J773+ведомство!J1607+ведомство!J1665+ведомство!J2343</f>
        <v>86737.071960000001</v>
      </c>
      <c r="H2115" s="9">
        <f>ведомство!K185+ведомство!K257+ведомство!K358+ведомство!K363+ведомство!K368+ведомство!K790+ведомство!K862+ведомство!K971+ведомство!K1015+ведомство!K1719+ведомство!K2141+ведомство!K2293+ведомство!K2313+ведомство!K2400+ведомство!K2421+ведомство!K2567+ведомство!K124+ведомство!K773+ведомство!K1607+ведомство!K1665+ведомство!K2343</f>
        <v>84368.013610000009</v>
      </c>
      <c r="I2115" s="9">
        <f t="shared" si="1112"/>
        <v>97.268689965586447</v>
      </c>
      <c r="J2115" s="9">
        <f t="shared" si="1113"/>
        <v>97.268689965586447</v>
      </c>
    </row>
    <row r="2116" spans="1:10" ht="25.5">
      <c r="A2116" s="8" t="s">
        <v>80</v>
      </c>
      <c r="B2116" s="1" t="s">
        <v>614</v>
      </c>
      <c r="C2116" s="24">
        <v>600</v>
      </c>
      <c r="D2116" s="9">
        <f>D2117+D2119+D2118</f>
        <v>0</v>
      </c>
      <c r="E2116" s="9">
        <f>E2117+E2119+E2118</f>
        <v>63416.356740000003</v>
      </c>
      <c r="F2116" s="9">
        <f t="shared" ref="F2116:G2116" si="1149">F2117+F2119+F2118</f>
        <v>63416.356740000003</v>
      </c>
      <c r="G2116" s="9">
        <f t="shared" si="1149"/>
        <v>63416.356740000003</v>
      </c>
      <c r="H2116" s="9">
        <f>H2117+H2119+H2118</f>
        <v>56650.381739999997</v>
      </c>
      <c r="I2116" s="9">
        <f t="shared" si="1112"/>
        <v>89.330867700678937</v>
      </c>
      <c r="J2116" s="9">
        <f t="shared" si="1113"/>
        <v>89.330867700678937</v>
      </c>
    </row>
    <row r="2117" spans="1:10">
      <c r="A2117" s="8" t="s">
        <v>271</v>
      </c>
      <c r="B2117" s="1" t="s">
        <v>614</v>
      </c>
      <c r="C2117" s="1">
        <v>610</v>
      </c>
      <c r="D2117" s="9">
        <f>ведомство!G558+ведомство!G606+ведомство!G864+ведомство!G1017+ведомство!G1040+ведомство!G1067</f>
        <v>0</v>
      </c>
      <c r="E2117" s="9">
        <f>ведомство!H558+ведомство!H606+ведомство!H864+ведомство!H1017+ведомство!H1040+ведомство!H1067+ведомство!H2315+ведомство!H1959</f>
        <v>45151.766669999997</v>
      </c>
      <c r="F2117" s="9">
        <f>ведомство!I558+ведомство!I606+ведомство!I864+ведомство!I1017+ведомство!I1040+ведомство!I1067+ведомство!I2315+ведомство!I1959</f>
        <v>45151.766669999997</v>
      </c>
      <c r="G2117" s="9">
        <f>ведомство!J558+ведомство!J606+ведомство!J864+ведомство!J1017+ведомство!J1040+ведомство!J1067+ведомство!J2315+ведомство!J1959</f>
        <v>45151.766669999997</v>
      </c>
      <c r="H2117" s="9">
        <f>ведомство!K558+ведомство!K606+ведомство!K864+ведомство!K1017+ведомство!K1040+ведомство!K1067+ведомство!K2315+ведомство!K1959</f>
        <v>45151.766669999997</v>
      </c>
      <c r="I2117" s="9">
        <f t="shared" si="1112"/>
        <v>100</v>
      </c>
      <c r="J2117" s="9">
        <f t="shared" si="1113"/>
        <v>100</v>
      </c>
    </row>
    <row r="2118" spans="1:10" s="42" customFormat="1">
      <c r="A2118" s="8" t="s">
        <v>82</v>
      </c>
      <c r="B2118" s="1" t="s">
        <v>614</v>
      </c>
      <c r="C2118" s="1">
        <v>620</v>
      </c>
      <c r="D2118" s="9">
        <f>ведомство!G2423+ведомство!G2569+ведомство!G2617</f>
        <v>0</v>
      </c>
      <c r="E2118" s="9">
        <f>ведомство!H2423+ведомство!H2569+ведомство!H2617+ведомство!H916+ведомство!H1041</f>
        <v>13771.49307</v>
      </c>
      <c r="F2118" s="9">
        <f>ведомство!I2423+ведомство!I2569+ведомство!I2617+ведомство!I916+ведомство!I1041</f>
        <v>13771.49307</v>
      </c>
      <c r="G2118" s="9">
        <f>ведомство!J2423+ведомство!J2569+ведомство!J2617+ведомство!J916+ведомство!J1041</f>
        <v>13771.49307</v>
      </c>
      <c r="H2118" s="9">
        <f>ведомство!K2423+ведомство!K2569+ведомство!K2617+ведомство!K916+ведомство!K1041</f>
        <v>7100.7980700000007</v>
      </c>
      <c r="I2118" s="9">
        <f t="shared" ref="I2118" si="1150">H2118/E2118*100</f>
        <v>51.561570222683194</v>
      </c>
      <c r="J2118" s="9">
        <f t="shared" ref="J2118" si="1151">H2118/F2118*100</f>
        <v>51.561570222683194</v>
      </c>
    </row>
    <row r="2119" spans="1:10" ht="25.5">
      <c r="A2119" s="8" t="s">
        <v>195</v>
      </c>
      <c r="B2119" s="1" t="s">
        <v>614</v>
      </c>
      <c r="C2119" s="1">
        <v>630</v>
      </c>
      <c r="D2119" s="9">
        <f>ведомство!G1198+ведомство!G2233</f>
        <v>0</v>
      </c>
      <c r="E2119" s="9">
        <f>ведомство!H1198+ведомство!H2233+ведомство!H2402+ведомство!H2618</f>
        <v>4493.0969999999998</v>
      </c>
      <c r="F2119" s="9">
        <f>ведомство!I1198+ведомство!I2233+ведомство!I2402+ведомство!I2618</f>
        <v>4493.0969999999998</v>
      </c>
      <c r="G2119" s="9">
        <f>ведомство!J1198+ведомство!J2233+ведомство!J2402+ведомство!J2618</f>
        <v>4493.0969999999998</v>
      </c>
      <c r="H2119" s="9">
        <f>ведомство!K1198+ведомство!K2233+ведомство!K2402+ведомство!K2618</f>
        <v>4397.8170000000009</v>
      </c>
      <c r="I2119" s="9">
        <f t="shared" si="1112"/>
        <v>97.879413687262954</v>
      </c>
      <c r="J2119" s="9">
        <f t="shared" si="1113"/>
        <v>97.879413687262954</v>
      </c>
    </row>
    <row r="2120" spans="1:10">
      <c r="A2120" s="8" t="s">
        <v>72</v>
      </c>
      <c r="B2120" s="1" t="s">
        <v>614</v>
      </c>
      <c r="C2120" s="1" t="s">
        <v>73</v>
      </c>
      <c r="D2120" s="9">
        <f>D2121</f>
        <v>216714.8</v>
      </c>
      <c r="E2120" s="9">
        <f>E2121</f>
        <v>39462.150629999996</v>
      </c>
      <c r="F2120" s="9">
        <f t="shared" ref="F2120:G2120" si="1152">F2121</f>
        <v>171.864</v>
      </c>
      <c r="G2120" s="9">
        <f t="shared" si="1152"/>
        <v>0</v>
      </c>
      <c r="H2120" s="9">
        <f>H2121</f>
        <v>0</v>
      </c>
      <c r="I2120" s="9">
        <f t="shared" si="1112"/>
        <v>0</v>
      </c>
      <c r="J2120" s="9">
        <v>0</v>
      </c>
    </row>
    <row r="2121" spans="1:10">
      <c r="A2121" s="8" t="s">
        <v>369</v>
      </c>
      <c r="B2121" s="1" t="s">
        <v>614</v>
      </c>
      <c r="C2121" s="1" t="s">
        <v>370</v>
      </c>
      <c r="D2121" s="9">
        <f>ведомство!G1523</f>
        <v>216714.8</v>
      </c>
      <c r="E2121" s="9">
        <f>ведомство!H1523</f>
        <v>39462.150629999996</v>
      </c>
      <c r="F2121" s="9">
        <f>ведомство!I1523</f>
        <v>171.864</v>
      </c>
      <c r="G2121" s="9">
        <f>ведомство!J1523</f>
        <v>0</v>
      </c>
      <c r="H2121" s="9">
        <f>ведомство!K1523</f>
        <v>0</v>
      </c>
      <c r="I2121" s="9">
        <f t="shared" si="1112"/>
        <v>0</v>
      </c>
      <c r="J2121" s="9">
        <v>0</v>
      </c>
    </row>
    <row r="2122" spans="1:10">
      <c r="A2122" s="4" t="s">
        <v>0</v>
      </c>
      <c r="B2122" s="17" t="s">
        <v>0</v>
      </c>
      <c r="C2122" s="5" t="s">
        <v>0</v>
      </c>
      <c r="D2122" s="7" t="s">
        <v>0</v>
      </c>
      <c r="E2122" s="7" t="s">
        <v>0</v>
      </c>
      <c r="F2122" s="7" t="s">
        <v>0</v>
      </c>
      <c r="G2122" s="7" t="s">
        <v>0</v>
      </c>
      <c r="H2122" s="7" t="s">
        <v>0</v>
      </c>
      <c r="I2122" s="7"/>
      <c r="J2122" s="7"/>
    </row>
    <row r="2123" spans="1:10">
      <c r="A2123" s="4" t="s">
        <v>704</v>
      </c>
      <c r="B2123" s="5" t="s">
        <v>705</v>
      </c>
      <c r="C2123" s="5" t="s">
        <v>0</v>
      </c>
      <c r="D2123" s="7">
        <f>D2124+D2129</f>
        <v>325303.3</v>
      </c>
      <c r="E2123" s="7">
        <f>E2124+E2129</f>
        <v>325303.26299999998</v>
      </c>
      <c r="F2123" s="7">
        <f t="shared" ref="F2123:G2123" si="1153">F2124+F2129</f>
        <v>265630.84600000002</v>
      </c>
      <c r="G2123" s="7">
        <f t="shared" si="1153"/>
        <v>265630.84600000002</v>
      </c>
      <c r="H2123" s="7">
        <f>H2124+H2129</f>
        <v>257629.2066</v>
      </c>
      <c r="I2123" s="7">
        <f t="shared" si="1112"/>
        <v>79.19662539628446</v>
      </c>
      <c r="J2123" s="7">
        <f t="shared" si="1113"/>
        <v>96.987684404694477</v>
      </c>
    </row>
    <row r="2124" spans="1:10" ht="38.25">
      <c r="A2124" s="8" t="s">
        <v>706</v>
      </c>
      <c r="B2124" s="1" t="s">
        <v>707</v>
      </c>
      <c r="C2124" s="1" t="s">
        <v>0</v>
      </c>
      <c r="D2124" s="9">
        <f>D2125+D2127</f>
        <v>76462.399999999994</v>
      </c>
      <c r="E2124" s="9">
        <f>E2125+E2127</f>
        <v>76462.362999999998</v>
      </c>
      <c r="F2124" s="9">
        <f t="shared" ref="F2124:G2124" si="1154">F2125+F2127</f>
        <v>55236.146000000001</v>
      </c>
      <c r="G2124" s="9">
        <f t="shared" si="1154"/>
        <v>55236.146000000001</v>
      </c>
      <c r="H2124" s="9">
        <f>H2125+H2127</f>
        <v>55236.146000000001</v>
      </c>
      <c r="I2124" s="9">
        <f t="shared" si="1112"/>
        <v>72.23965338345613</v>
      </c>
      <c r="J2124" s="9">
        <f t="shared" si="1113"/>
        <v>100</v>
      </c>
    </row>
    <row r="2125" spans="1:10" s="42" customFormat="1" ht="25.5">
      <c r="A2125" s="8" t="s">
        <v>64</v>
      </c>
      <c r="B2125" s="1" t="s">
        <v>707</v>
      </c>
      <c r="C2125" s="1">
        <v>200</v>
      </c>
      <c r="D2125" s="9">
        <f>D2126</f>
        <v>0</v>
      </c>
      <c r="E2125" s="9">
        <f>E2126</f>
        <v>60797.084000000003</v>
      </c>
      <c r="F2125" s="9">
        <f t="shared" ref="F2125:G2125" si="1155">F2126</f>
        <v>55236.146000000001</v>
      </c>
      <c r="G2125" s="9">
        <f t="shared" si="1155"/>
        <v>55236.146000000001</v>
      </c>
      <c r="H2125" s="9">
        <f>H2126</f>
        <v>55236.146000000001</v>
      </c>
      <c r="I2125" s="9">
        <f t="shared" ref="I2125:I2126" si="1156">H2125/E2125*100</f>
        <v>90.853281713313748</v>
      </c>
      <c r="J2125" s="9">
        <f t="shared" ref="J2125:J2126" si="1157">H2125/F2125*100</f>
        <v>100</v>
      </c>
    </row>
    <row r="2126" spans="1:10" s="42" customFormat="1" ht="25.5">
      <c r="A2126" s="8" t="s">
        <v>66</v>
      </c>
      <c r="B2126" s="1" t="s">
        <v>707</v>
      </c>
      <c r="C2126" s="1">
        <v>240</v>
      </c>
      <c r="D2126" s="9">
        <f>ведомство!G1723</f>
        <v>0</v>
      </c>
      <c r="E2126" s="9">
        <f>ведомство!H1723</f>
        <v>60797.084000000003</v>
      </c>
      <c r="F2126" s="9">
        <f>ведомство!I1723</f>
        <v>55236.146000000001</v>
      </c>
      <c r="G2126" s="9">
        <f>ведомство!J1723</f>
        <v>55236.146000000001</v>
      </c>
      <c r="H2126" s="9">
        <f>ведомство!K1723</f>
        <v>55236.146000000001</v>
      </c>
      <c r="I2126" s="9">
        <f t="shared" si="1156"/>
        <v>90.853281713313748</v>
      </c>
      <c r="J2126" s="9">
        <f t="shared" si="1157"/>
        <v>100</v>
      </c>
    </row>
    <row r="2127" spans="1:10">
      <c r="A2127" s="8" t="s">
        <v>72</v>
      </c>
      <c r="B2127" s="1" t="s">
        <v>707</v>
      </c>
      <c r="C2127" s="1" t="s">
        <v>73</v>
      </c>
      <c r="D2127" s="9">
        <f>D2128</f>
        <v>76462.399999999994</v>
      </c>
      <c r="E2127" s="9">
        <f>E2128</f>
        <v>15665.279</v>
      </c>
      <c r="F2127" s="9">
        <f t="shared" ref="F2127:G2127" si="1158">F2128</f>
        <v>0</v>
      </c>
      <c r="G2127" s="9">
        <f t="shared" si="1158"/>
        <v>0</v>
      </c>
      <c r="H2127" s="9">
        <f>H2128</f>
        <v>0</v>
      </c>
      <c r="I2127" s="9">
        <f t="shared" si="1112"/>
        <v>0</v>
      </c>
      <c r="J2127" s="9">
        <v>0</v>
      </c>
    </row>
    <row r="2128" spans="1:10">
      <c r="A2128" s="8" t="s">
        <v>369</v>
      </c>
      <c r="B2128" s="1" t="s">
        <v>707</v>
      </c>
      <c r="C2128" s="1" t="s">
        <v>370</v>
      </c>
      <c r="D2128" s="9">
        <f>ведомство!G1725</f>
        <v>76462.399999999994</v>
      </c>
      <c r="E2128" s="9">
        <f>ведомство!H1725</f>
        <v>15665.279</v>
      </c>
      <c r="F2128" s="9">
        <f>ведомство!I1725</f>
        <v>0</v>
      </c>
      <c r="G2128" s="9">
        <f>ведомство!J1725</f>
        <v>0</v>
      </c>
      <c r="H2128" s="9">
        <f>ведомство!K1725</f>
        <v>0</v>
      </c>
      <c r="I2128" s="9">
        <f t="shared" si="1112"/>
        <v>0</v>
      </c>
      <c r="J2128" s="9">
        <v>0</v>
      </c>
    </row>
    <row r="2129" spans="1:10" ht="76.5">
      <c r="A2129" s="8" t="s">
        <v>708</v>
      </c>
      <c r="B2129" s="1" t="s">
        <v>709</v>
      </c>
      <c r="C2129" s="1" t="s">
        <v>0</v>
      </c>
      <c r="D2129" s="9">
        <f>D2130</f>
        <v>248840.9</v>
      </c>
      <c r="E2129" s="9">
        <f>E2130</f>
        <v>248840.9</v>
      </c>
      <c r="F2129" s="9">
        <f t="shared" ref="F2129:G2130" si="1159">F2130</f>
        <v>210394.7</v>
      </c>
      <c r="G2129" s="9">
        <f t="shared" si="1159"/>
        <v>210394.7</v>
      </c>
      <c r="H2129" s="9">
        <f>H2130</f>
        <v>202393.0606</v>
      </c>
      <c r="I2129" s="9">
        <f t="shared" si="1112"/>
        <v>81.334322693737249</v>
      </c>
      <c r="J2129" s="9">
        <f t="shared" si="1113"/>
        <v>96.196843646726833</v>
      </c>
    </row>
    <row r="2130" spans="1:10">
      <c r="A2130" s="8" t="s">
        <v>26</v>
      </c>
      <c r="B2130" s="1" t="s">
        <v>709</v>
      </c>
      <c r="C2130" s="1" t="s">
        <v>27</v>
      </c>
      <c r="D2130" s="9">
        <f>D2131</f>
        <v>248840.9</v>
      </c>
      <c r="E2130" s="9">
        <f>E2131</f>
        <v>248840.9</v>
      </c>
      <c r="F2130" s="9">
        <f t="shared" si="1159"/>
        <v>210394.7</v>
      </c>
      <c r="G2130" s="9">
        <f t="shared" si="1159"/>
        <v>210394.7</v>
      </c>
      <c r="H2130" s="9">
        <f>H2131</f>
        <v>202393.0606</v>
      </c>
      <c r="I2130" s="9">
        <f t="shared" si="1112"/>
        <v>81.334322693737249</v>
      </c>
      <c r="J2130" s="9">
        <f t="shared" si="1113"/>
        <v>96.196843646726833</v>
      </c>
    </row>
    <row r="2131" spans="1:10">
      <c r="A2131" s="8" t="s">
        <v>56</v>
      </c>
      <c r="B2131" s="1" t="s">
        <v>709</v>
      </c>
      <c r="C2131" s="1" t="s">
        <v>57</v>
      </c>
      <c r="D2131" s="9">
        <f>ведомство!G1728</f>
        <v>248840.9</v>
      </c>
      <c r="E2131" s="9">
        <f>ведомство!H1728</f>
        <v>248840.9</v>
      </c>
      <c r="F2131" s="9">
        <f>ведомство!I1728</f>
        <v>210394.7</v>
      </c>
      <c r="G2131" s="9">
        <f>ведомство!J1728</f>
        <v>210394.7</v>
      </c>
      <c r="H2131" s="9">
        <f>ведомство!K1728</f>
        <v>202393.0606</v>
      </c>
      <c r="I2131" s="9">
        <f t="shared" si="1112"/>
        <v>81.334322693737249</v>
      </c>
      <c r="J2131" s="9">
        <f t="shared" si="1113"/>
        <v>96.196843646726833</v>
      </c>
    </row>
    <row r="2132" spans="1:10">
      <c r="A2132" s="8"/>
      <c r="B2132" s="1"/>
      <c r="C2132" s="1"/>
      <c r="D2132" s="9"/>
      <c r="E2132" s="9"/>
      <c r="F2132" s="9"/>
      <c r="G2132" s="9"/>
      <c r="H2132" s="9"/>
      <c r="I2132" s="9"/>
      <c r="J2132" s="9"/>
    </row>
    <row r="2133" spans="1:10" ht="41.25" customHeight="1">
      <c r="A2133" s="32" t="s">
        <v>1120</v>
      </c>
      <c r="B2133" s="33" t="s">
        <v>1117</v>
      </c>
      <c r="C2133" s="1"/>
      <c r="D2133" s="23">
        <f>D2139+D2134</f>
        <v>0</v>
      </c>
      <c r="E2133" s="23">
        <f>E2139+E2134</f>
        <v>1384.4630999999999</v>
      </c>
      <c r="F2133" s="23">
        <f t="shared" ref="F2133:G2133" si="1160">F2139+F2134</f>
        <v>1384.4630999999999</v>
      </c>
      <c r="G2133" s="23">
        <f t="shared" si="1160"/>
        <v>1384.4630999999999</v>
      </c>
      <c r="H2133" s="23">
        <f>H2139+H2134</f>
        <v>1384.4630999999999</v>
      </c>
      <c r="I2133" s="23">
        <f t="shared" si="1112"/>
        <v>100</v>
      </c>
      <c r="J2133" s="23">
        <f t="shared" si="1113"/>
        <v>100</v>
      </c>
    </row>
    <row r="2134" spans="1:10" ht="41.25" customHeight="1">
      <c r="A2134" s="8" t="s">
        <v>1134</v>
      </c>
      <c r="B2134" s="24" t="s">
        <v>1132</v>
      </c>
      <c r="C2134" s="1"/>
      <c r="D2134" s="22">
        <f>D2135</f>
        <v>0</v>
      </c>
      <c r="E2134" s="22">
        <f>E2135</f>
        <v>664.25399999999991</v>
      </c>
      <c r="F2134" s="22">
        <f t="shared" ref="F2134:G2135" si="1161">F2135</f>
        <v>664.25399999999991</v>
      </c>
      <c r="G2134" s="22">
        <f t="shared" si="1161"/>
        <v>664.25399999999991</v>
      </c>
      <c r="H2134" s="22">
        <f>H2135</f>
        <v>664.25399999999991</v>
      </c>
      <c r="I2134" s="22">
        <f t="shared" si="1112"/>
        <v>100</v>
      </c>
      <c r="J2134" s="22">
        <f t="shared" si="1113"/>
        <v>100</v>
      </c>
    </row>
    <row r="2135" spans="1:10" ht="41.25" customHeight="1">
      <c r="A2135" s="8" t="s">
        <v>1135</v>
      </c>
      <c r="B2135" s="24" t="s">
        <v>1133</v>
      </c>
      <c r="C2135" s="1"/>
      <c r="D2135" s="22">
        <f>D2136</f>
        <v>0</v>
      </c>
      <c r="E2135" s="22">
        <f>E2136</f>
        <v>664.25399999999991</v>
      </c>
      <c r="F2135" s="22">
        <f t="shared" si="1161"/>
        <v>664.25399999999991</v>
      </c>
      <c r="G2135" s="22">
        <f t="shared" si="1161"/>
        <v>664.25399999999991</v>
      </c>
      <c r="H2135" s="22">
        <f>H2136</f>
        <v>664.25399999999991</v>
      </c>
      <c r="I2135" s="22">
        <f t="shared" si="1112"/>
        <v>100</v>
      </c>
      <c r="J2135" s="22">
        <f t="shared" si="1113"/>
        <v>100</v>
      </c>
    </row>
    <row r="2136" spans="1:10" ht="25.5">
      <c r="A2136" s="8" t="s">
        <v>80</v>
      </c>
      <c r="B2136" s="24" t="s">
        <v>1133</v>
      </c>
      <c r="C2136" s="1">
        <v>600</v>
      </c>
      <c r="D2136" s="22">
        <f>D2137+D2138</f>
        <v>0</v>
      </c>
      <c r="E2136" s="22">
        <f>E2137+E2138</f>
        <v>664.25399999999991</v>
      </c>
      <c r="F2136" s="22">
        <f t="shared" ref="F2136:G2136" si="1162">F2137+F2138</f>
        <v>664.25399999999991</v>
      </c>
      <c r="G2136" s="22">
        <f t="shared" si="1162"/>
        <v>664.25399999999991</v>
      </c>
      <c r="H2136" s="22">
        <f>H2137+H2138</f>
        <v>664.25399999999991</v>
      </c>
      <c r="I2136" s="22">
        <f t="shared" si="1112"/>
        <v>100</v>
      </c>
      <c r="J2136" s="22">
        <f t="shared" si="1113"/>
        <v>100</v>
      </c>
    </row>
    <row r="2137" spans="1:10">
      <c r="A2137" s="8" t="s">
        <v>271</v>
      </c>
      <c r="B2137" s="24" t="s">
        <v>1133</v>
      </c>
      <c r="C2137" s="6">
        <v>610</v>
      </c>
      <c r="D2137" s="22">
        <f>ведомство!G963</f>
        <v>0</v>
      </c>
      <c r="E2137" s="22">
        <f>ведомство!H963</f>
        <v>159.88999999999999</v>
      </c>
      <c r="F2137" s="22">
        <f>ведомство!I963</f>
        <v>159.88999999999999</v>
      </c>
      <c r="G2137" s="22">
        <f>ведомство!J963</f>
        <v>159.88999999999999</v>
      </c>
      <c r="H2137" s="22">
        <f>ведомство!K963</f>
        <v>159.88999999999999</v>
      </c>
      <c r="I2137" s="22">
        <f t="shared" si="1112"/>
        <v>100</v>
      </c>
      <c r="J2137" s="22">
        <f t="shared" si="1113"/>
        <v>100</v>
      </c>
    </row>
    <row r="2138" spans="1:10">
      <c r="A2138" s="8" t="s">
        <v>82</v>
      </c>
      <c r="B2138" s="24" t="s">
        <v>1133</v>
      </c>
      <c r="C2138" s="6">
        <v>620</v>
      </c>
      <c r="D2138" s="22">
        <f>ведомство!G964</f>
        <v>0</v>
      </c>
      <c r="E2138" s="22">
        <f>ведомство!H964</f>
        <v>504.36399999999998</v>
      </c>
      <c r="F2138" s="22">
        <f>ведомство!I964</f>
        <v>504.36399999999998</v>
      </c>
      <c r="G2138" s="22">
        <f>ведомство!J964</f>
        <v>504.36399999999998</v>
      </c>
      <c r="H2138" s="22">
        <f>ведомство!K964</f>
        <v>504.36399999999998</v>
      </c>
      <c r="I2138" s="22">
        <f t="shared" si="1112"/>
        <v>100</v>
      </c>
      <c r="J2138" s="22">
        <f t="shared" si="1113"/>
        <v>100</v>
      </c>
    </row>
    <row r="2139" spans="1:10" ht="89.25">
      <c r="A2139" s="27" t="s">
        <v>1121</v>
      </c>
      <c r="B2139" s="24" t="s">
        <v>1118</v>
      </c>
      <c r="C2139" s="1"/>
      <c r="D2139" s="9">
        <f>D2140</f>
        <v>0</v>
      </c>
      <c r="E2139" s="9">
        <f>E2140</f>
        <v>720.20910000000003</v>
      </c>
      <c r="F2139" s="9">
        <f t="shared" ref="F2139:G2140" si="1163">F2140</f>
        <v>720.20910000000003</v>
      </c>
      <c r="G2139" s="9">
        <f t="shared" si="1163"/>
        <v>720.20910000000003</v>
      </c>
      <c r="H2139" s="9">
        <f>H2140</f>
        <v>720.20910000000003</v>
      </c>
      <c r="I2139" s="9">
        <f t="shared" si="1112"/>
        <v>100</v>
      </c>
      <c r="J2139" s="9">
        <f t="shared" si="1113"/>
        <v>100</v>
      </c>
    </row>
    <row r="2140" spans="1:10" ht="102">
      <c r="A2140" s="8" t="s">
        <v>1122</v>
      </c>
      <c r="B2140" s="24" t="s">
        <v>1119</v>
      </c>
      <c r="C2140" s="1"/>
      <c r="D2140" s="9">
        <f>D2141</f>
        <v>0</v>
      </c>
      <c r="E2140" s="9">
        <f>E2141</f>
        <v>720.20910000000003</v>
      </c>
      <c r="F2140" s="9">
        <f t="shared" si="1163"/>
        <v>720.20910000000003</v>
      </c>
      <c r="G2140" s="9">
        <f t="shared" si="1163"/>
        <v>720.20910000000003</v>
      </c>
      <c r="H2140" s="9">
        <f>H2141</f>
        <v>720.20910000000003</v>
      </c>
      <c r="I2140" s="9">
        <f t="shared" si="1112"/>
        <v>100</v>
      </c>
      <c r="J2140" s="9">
        <f t="shared" si="1113"/>
        <v>100</v>
      </c>
    </row>
    <row r="2141" spans="1:10" ht="25.5">
      <c r="A2141" s="8" t="s">
        <v>80</v>
      </c>
      <c r="B2141" s="24" t="s">
        <v>1119</v>
      </c>
      <c r="C2141" s="1">
        <v>600</v>
      </c>
      <c r="D2141" s="9">
        <f>D2142+D2143</f>
        <v>0</v>
      </c>
      <c r="E2141" s="9">
        <f>E2142+E2143</f>
        <v>720.20910000000003</v>
      </c>
      <c r="F2141" s="9">
        <f t="shared" ref="F2141:G2141" si="1164">F2142+F2143</f>
        <v>720.20910000000003</v>
      </c>
      <c r="G2141" s="9">
        <f t="shared" si="1164"/>
        <v>720.20910000000003</v>
      </c>
      <c r="H2141" s="9">
        <f>H2142+H2143</f>
        <v>720.20910000000003</v>
      </c>
      <c r="I2141" s="9">
        <f t="shared" si="1112"/>
        <v>100</v>
      </c>
      <c r="J2141" s="9">
        <f t="shared" si="1113"/>
        <v>100</v>
      </c>
    </row>
    <row r="2142" spans="1:10">
      <c r="A2142" s="8" t="s">
        <v>271</v>
      </c>
      <c r="B2142" s="24" t="s">
        <v>1119</v>
      </c>
      <c r="C2142" s="24">
        <v>610</v>
      </c>
      <c r="D2142" s="22">
        <f>ведомство!G563+ведомство!G611</f>
        <v>0</v>
      </c>
      <c r="E2142" s="22">
        <f>ведомство!H563+ведомство!H611</f>
        <v>719.59699999999998</v>
      </c>
      <c r="F2142" s="22">
        <f>ведомство!I563+ведомство!I611</f>
        <v>719.59699999999998</v>
      </c>
      <c r="G2142" s="22">
        <f>ведомство!J563+ведомство!J611</f>
        <v>719.59699999999998</v>
      </c>
      <c r="H2142" s="22">
        <f>ведомство!K563+ведомство!K611</f>
        <v>719.59699999999998</v>
      </c>
      <c r="I2142" s="22">
        <f t="shared" si="1112"/>
        <v>100</v>
      </c>
      <c r="J2142" s="22">
        <f t="shared" si="1113"/>
        <v>100</v>
      </c>
    </row>
    <row r="2143" spans="1:10">
      <c r="A2143" s="25" t="s">
        <v>82</v>
      </c>
      <c r="B2143" s="24" t="s">
        <v>1119</v>
      </c>
      <c r="C2143" s="24">
        <v>620</v>
      </c>
      <c r="D2143" s="22">
        <f>ведомство!G612</f>
        <v>0</v>
      </c>
      <c r="E2143" s="22">
        <f>ведомство!H612</f>
        <v>0.61209999999999998</v>
      </c>
      <c r="F2143" s="22">
        <f>ведомство!I612</f>
        <v>0.61209999999999998</v>
      </c>
      <c r="G2143" s="22">
        <f>ведомство!J612</f>
        <v>0.61209999999999998</v>
      </c>
      <c r="H2143" s="22">
        <f>ведомство!K612</f>
        <v>0.61209999999999998</v>
      </c>
      <c r="I2143" s="22">
        <f t="shared" si="1112"/>
        <v>100</v>
      </c>
      <c r="J2143" s="22">
        <f t="shared" si="1113"/>
        <v>100</v>
      </c>
    </row>
    <row r="2144" spans="1:10">
      <c r="A2144" s="4"/>
      <c r="B2144" s="17"/>
      <c r="C2144" s="5"/>
      <c r="D2144" s="7"/>
      <c r="E2144" s="7"/>
      <c r="F2144" s="7"/>
      <c r="G2144" s="7"/>
      <c r="H2144" s="7"/>
      <c r="I2144" s="7"/>
      <c r="J2144" s="7"/>
    </row>
    <row r="2145" spans="1:10" ht="63.75">
      <c r="A2145" s="4" t="s">
        <v>619</v>
      </c>
      <c r="B2145" s="5" t="s">
        <v>620</v>
      </c>
      <c r="C2145" s="5" t="s">
        <v>0</v>
      </c>
      <c r="D2145" s="7">
        <f t="shared" ref="D2145:H2147" si="1165">D2146</f>
        <v>419627</v>
      </c>
      <c r="E2145" s="7">
        <f t="shared" si="1165"/>
        <v>419627</v>
      </c>
      <c r="F2145" s="7">
        <f t="shared" si="1165"/>
        <v>0</v>
      </c>
      <c r="G2145" s="7">
        <f t="shared" si="1165"/>
        <v>0</v>
      </c>
      <c r="H2145" s="7">
        <f t="shared" si="1165"/>
        <v>0</v>
      </c>
      <c r="I2145" s="7">
        <f t="shared" si="1112"/>
        <v>0</v>
      </c>
      <c r="J2145" s="7">
        <v>0</v>
      </c>
    </row>
    <row r="2146" spans="1:10" ht="63.75">
      <c r="A2146" s="8" t="s">
        <v>619</v>
      </c>
      <c r="B2146" s="1" t="s">
        <v>621</v>
      </c>
      <c r="C2146" s="1" t="s">
        <v>0</v>
      </c>
      <c r="D2146" s="9">
        <f t="shared" si="1165"/>
        <v>419627</v>
      </c>
      <c r="E2146" s="9">
        <f t="shared" si="1165"/>
        <v>419627</v>
      </c>
      <c r="F2146" s="9">
        <f t="shared" si="1165"/>
        <v>0</v>
      </c>
      <c r="G2146" s="9">
        <f t="shared" si="1165"/>
        <v>0</v>
      </c>
      <c r="H2146" s="9">
        <f t="shared" si="1165"/>
        <v>0</v>
      </c>
      <c r="I2146" s="9">
        <f t="shared" si="1112"/>
        <v>0</v>
      </c>
      <c r="J2146" s="9">
        <v>0</v>
      </c>
    </row>
    <row r="2147" spans="1:10">
      <c r="A2147" s="8" t="s">
        <v>72</v>
      </c>
      <c r="B2147" s="1" t="s">
        <v>621</v>
      </c>
      <c r="C2147" s="1" t="s">
        <v>73</v>
      </c>
      <c r="D2147" s="9">
        <f t="shared" si="1165"/>
        <v>419627</v>
      </c>
      <c r="E2147" s="9">
        <f t="shared" si="1165"/>
        <v>419627</v>
      </c>
      <c r="F2147" s="9">
        <f t="shared" si="1165"/>
        <v>0</v>
      </c>
      <c r="G2147" s="9">
        <f t="shared" si="1165"/>
        <v>0</v>
      </c>
      <c r="H2147" s="9">
        <f t="shared" si="1165"/>
        <v>0</v>
      </c>
      <c r="I2147" s="9">
        <f t="shared" ref="I2147:I2155" si="1166">H2147/E2147*100</f>
        <v>0</v>
      </c>
      <c r="J2147" s="9">
        <v>0</v>
      </c>
    </row>
    <row r="2148" spans="1:10">
      <c r="A2148" s="8" t="s">
        <v>369</v>
      </c>
      <c r="B2148" s="1" t="s">
        <v>621</v>
      </c>
      <c r="C2148" s="1" t="s">
        <v>370</v>
      </c>
      <c r="D2148" s="9">
        <f>ведомство!G1543</f>
        <v>419627</v>
      </c>
      <c r="E2148" s="9">
        <f>ведомство!H1543</f>
        <v>419627</v>
      </c>
      <c r="F2148" s="9">
        <f>ведомство!I1543</f>
        <v>0</v>
      </c>
      <c r="G2148" s="9">
        <f>ведомство!J1543</f>
        <v>0</v>
      </c>
      <c r="H2148" s="9">
        <f>ведомство!K1543</f>
        <v>0</v>
      </c>
      <c r="I2148" s="9">
        <f t="shared" si="1166"/>
        <v>0</v>
      </c>
      <c r="J2148" s="9">
        <v>0</v>
      </c>
    </row>
    <row r="2149" spans="1:10" s="92" customFormat="1">
      <c r="A2149" s="8"/>
      <c r="B2149" s="1"/>
      <c r="C2149" s="1"/>
      <c r="D2149" s="9"/>
      <c r="E2149" s="9"/>
      <c r="F2149" s="9"/>
      <c r="G2149" s="9"/>
      <c r="H2149" s="9"/>
      <c r="I2149" s="9"/>
      <c r="J2149" s="9"/>
    </row>
    <row r="2150" spans="1:10" s="92" customFormat="1" ht="57" customHeight="1">
      <c r="A2150" s="4" t="s">
        <v>1268</v>
      </c>
      <c r="B2150" s="5" t="s">
        <v>1266</v>
      </c>
      <c r="C2150" s="1"/>
      <c r="D2150" s="7"/>
      <c r="E2150" s="7">
        <f>E2151</f>
        <v>1842.58617</v>
      </c>
      <c r="F2150" s="7">
        <f t="shared" ref="F2150:G2152" si="1167">F2151</f>
        <v>0</v>
      </c>
      <c r="G2150" s="7">
        <f t="shared" si="1167"/>
        <v>0</v>
      </c>
      <c r="H2150" s="7">
        <f>H2151</f>
        <v>0</v>
      </c>
      <c r="I2150" s="7">
        <f t="shared" ref="I2150:I2153" si="1168">H2150/E2150*100</f>
        <v>0</v>
      </c>
      <c r="J2150" s="7">
        <v>0</v>
      </c>
    </row>
    <row r="2151" spans="1:10" s="92" customFormat="1" ht="59.25" customHeight="1">
      <c r="A2151" s="8" t="s">
        <v>1268</v>
      </c>
      <c r="B2151" s="24" t="s">
        <v>1267</v>
      </c>
      <c r="C2151" s="1"/>
      <c r="D2151" s="9"/>
      <c r="E2151" s="9">
        <f>E2152</f>
        <v>1842.58617</v>
      </c>
      <c r="F2151" s="9">
        <f t="shared" si="1167"/>
        <v>0</v>
      </c>
      <c r="G2151" s="9">
        <f t="shared" si="1167"/>
        <v>0</v>
      </c>
      <c r="H2151" s="9">
        <f>H2152</f>
        <v>0</v>
      </c>
      <c r="I2151" s="9">
        <f t="shared" si="1168"/>
        <v>0</v>
      </c>
      <c r="J2151" s="9">
        <v>0</v>
      </c>
    </row>
    <row r="2152" spans="1:10" s="92" customFormat="1">
      <c r="A2152" s="59" t="s">
        <v>72</v>
      </c>
      <c r="B2152" s="24" t="s">
        <v>1267</v>
      </c>
      <c r="C2152" s="1">
        <v>800</v>
      </c>
      <c r="D2152" s="9"/>
      <c r="E2152" s="9">
        <f>E2153</f>
        <v>1842.58617</v>
      </c>
      <c r="F2152" s="9">
        <f t="shared" si="1167"/>
        <v>0</v>
      </c>
      <c r="G2152" s="9">
        <f t="shared" si="1167"/>
        <v>0</v>
      </c>
      <c r="H2152" s="9">
        <f>H2153</f>
        <v>0</v>
      </c>
      <c r="I2152" s="9">
        <f t="shared" si="1168"/>
        <v>0</v>
      </c>
      <c r="J2152" s="9">
        <v>0</v>
      </c>
    </row>
    <row r="2153" spans="1:10" s="92" customFormat="1">
      <c r="A2153" s="59" t="s">
        <v>615</v>
      </c>
      <c r="B2153" s="24" t="s">
        <v>1267</v>
      </c>
      <c r="C2153" s="1">
        <v>880</v>
      </c>
      <c r="D2153" s="9"/>
      <c r="E2153" s="9">
        <f>ведомство!H1547</f>
        <v>1842.58617</v>
      </c>
      <c r="F2153" s="9">
        <f>ведомство!I1547</f>
        <v>0</v>
      </c>
      <c r="G2153" s="9">
        <f>ведомство!J1547</f>
        <v>0</v>
      </c>
      <c r="H2153" s="9">
        <f>ведомство!K1547</f>
        <v>0</v>
      </c>
      <c r="I2153" s="9">
        <f t="shared" si="1168"/>
        <v>0</v>
      </c>
      <c r="J2153" s="9">
        <v>0</v>
      </c>
    </row>
    <row r="2154" spans="1:10" s="92" customFormat="1">
      <c r="A2154" s="8"/>
      <c r="B2154" s="24"/>
      <c r="C2154" s="1"/>
      <c r="D2154" s="9"/>
      <c r="E2154" s="9"/>
      <c r="F2154" s="9"/>
      <c r="G2154" s="9"/>
      <c r="H2154" s="9"/>
      <c r="I2154" s="9"/>
      <c r="J2154" s="9"/>
    </row>
    <row r="2155" spans="1:10">
      <c r="A2155" s="4" t="s">
        <v>1102</v>
      </c>
      <c r="B2155" s="5" t="s">
        <v>0</v>
      </c>
      <c r="C2155" s="5" t="s">
        <v>0</v>
      </c>
      <c r="D2155" s="7">
        <f>D9+D1928+D1962+D2009+0.1</f>
        <v>69335157.529999971</v>
      </c>
      <c r="E2155" s="7">
        <f>E9+E1928+E1962+E2009</f>
        <v>70714783.75395</v>
      </c>
      <c r="F2155" s="7">
        <f>F9+F1928+F1962+F2009</f>
        <v>50137542.954929993</v>
      </c>
      <c r="G2155" s="7">
        <f>G9+G1928+G1962+G2009</f>
        <v>50074927.128499009</v>
      </c>
      <c r="H2155" s="7">
        <f>H9+H1928+H1962+H2009</f>
        <v>49251332.541350007</v>
      </c>
      <c r="I2155" s="7">
        <f t="shared" si="1166"/>
        <v>69.647858519540364</v>
      </c>
      <c r="J2155" s="7">
        <f t="shared" ref="J2155" si="1169">H2155/F2155*100</f>
        <v>98.232441477284553</v>
      </c>
    </row>
    <row r="2156" spans="1:10" ht="46.5" customHeight="1"/>
  </sheetData>
  <mergeCells count="11">
    <mergeCell ref="D6:D7"/>
    <mergeCell ref="E6:E7"/>
    <mergeCell ref="A6:A7"/>
    <mergeCell ref="B6:B7"/>
    <mergeCell ref="E1:J1"/>
    <mergeCell ref="A3:J3"/>
    <mergeCell ref="F6:F7"/>
    <mergeCell ref="G6:G7"/>
    <mergeCell ref="H6:H7"/>
    <mergeCell ref="I6:J6"/>
    <mergeCell ref="C6:C7"/>
  </mergeCells>
  <pageMargins left="1.1811023622047245" right="0.59055118110236227" top="0.32" bottom="0.47" header="0.31496062992125984" footer="0.31496062992125984"/>
  <pageSetup paperSize="9" scale="66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разделы, подразделы</vt:lpstr>
      <vt:lpstr>ведомство</vt:lpstr>
      <vt:lpstr>программы</vt:lpstr>
      <vt:lpstr>ведомство!Заголовки_для_печати</vt:lpstr>
      <vt:lpstr>программы!Заголовки_для_печати</vt:lpstr>
      <vt:lpstr>'разделы, подразделы'!Заголовки_для_печати</vt:lpstr>
      <vt:lpstr>ведомство!Область_печати</vt:lpstr>
      <vt:lpstr>программы!Область_печати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2016-11-07T06:56:09Z</dcterms:modified>
</cp:coreProperties>
</file>