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Расчет" sheetId="2" r:id="rId1"/>
    <sheet name="Новые заимствования" sheetId="3" state="hidden" r:id="rId2"/>
  </sheets>
  <definedNames>
    <definedName name="_xlnm.Print_Area" localSheetId="1">'Новые заимствования'!$A$1:$G$26</definedName>
    <definedName name="_xlnm.Print_Area" localSheetId="0">Расчет!$A$1:$C$19</definedName>
  </definedNames>
  <calcPr calcId="125725"/>
</workbook>
</file>

<file path=xl/calcChain.xml><?xml version="1.0" encoding="utf-8"?>
<calcChain xmlns="http://schemas.openxmlformats.org/spreadsheetml/2006/main">
  <c r="A22" i="3"/>
  <c r="F22"/>
  <c r="C22"/>
  <c r="G22" l="1"/>
  <c r="F21" l="1"/>
  <c r="C21"/>
  <c r="G21" l="1"/>
  <c r="A8" l="1"/>
  <c r="A12" l="1"/>
  <c r="F12"/>
  <c r="C12"/>
  <c r="A11"/>
  <c r="F11"/>
  <c r="C11"/>
  <c r="A10"/>
  <c r="A9"/>
  <c r="F9"/>
  <c r="C9"/>
  <c r="F10"/>
  <c r="C10"/>
  <c r="G12" l="1"/>
  <c r="G11"/>
  <c r="G9"/>
  <c r="G10"/>
  <c r="F20"/>
  <c r="C20"/>
  <c r="F19"/>
  <c r="C19"/>
  <c r="F24"/>
  <c r="C24"/>
  <c r="F23"/>
  <c r="C23"/>
  <c r="F18"/>
  <c r="C18"/>
  <c r="C17"/>
  <c r="F17"/>
  <c r="C14"/>
  <c r="C15"/>
  <c r="F15"/>
  <c r="C13"/>
  <c r="F13"/>
  <c r="G13" l="1"/>
  <c r="G23"/>
  <c r="G19"/>
  <c r="G20"/>
  <c r="G18"/>
  <c r="G15"/>
  <c r="G24"/>
  <c r="G17"/>
  <c r="C11" i="2" l="1"/>
  <c r="F14" i="3"/>
  <c r="G14" s="1"/>
  <c r="F47"/>
  <c r="C47"/>
  <c r="A47"/>
  <c r="F16"/>
  <c r="C16"/>
  <c r="A32"/>
  <c r="A33" s="1"/>
  <c r="A44"/>
  <c r="F8"/>
  <c r="C8"/>
  <c r="C8" i="2"/>
  <c r="A35" i="3" l="1"/>
  <c r="G36" s="1"/>
  <c r="I25"/>
  <c r="C14" i="2"/>
  <c r="G16" i="3"/>
  <c r="G8"/>
  <c r="G47"/>
  <c r="B38"/>
  <c r="C38" s="1"/>
  <c r="G25" l="1"/>
  <c r="C15" i="2" s="1"/>
  <c r="C16" l="1"/>
  <c r="C17" s="1"/>
</calcChain>
</file>

<file path=xl/sharedStrings.xml><?xml version="1.0" encoding="utf-8"?>
<sst xmlns="http://schemas.openxmlformats.org/spreadsheetml/2006/main" count="38" uniqueCount="36">
  <si>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</si>
  <si>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</si>
  <si>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</si>
  <si>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</si>
  <si>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</si>
  <si>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</si>
  <si>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</si>
  <si>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</si>
  <si>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</si>
  <si>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Предполагаемая средневзвешенная % ставка (на день выборки кредита)</t>
  </si>
  <si>
    <t xml:space="preserve"> - план погашения КК на оставшийся период  2015 года</t>
  </si>
  <si>
    <t xml:space="preserve"> - в обороте КК на 01 января 2016 - для проверки </t>
  </si>
  <si>
    <t xml:space="preserve"> - утверждено в законе о бюджете госдолг по КК на 01 января 2016</t>
  </si>
  <si>
    <t xml:space="preserve"> - проверка - если ноль, то все нормально</t>
  </si>
  <si>
    <t xml:space="preserve"> - считаем, что привлечено будет после 20 декабря 2015 года</t>
  </si>
  <si>
    <t xml:space="preserve"> - оптимизация (свободные лимиты)</t>
  </si>
  <si>
    <t xml:space="preserve"> - (пункт 3 - пункт 2 + пункт 4)   - план привлечения на 2015 год с учетом оптимизации</t>
  </si>
  <si>
    <t xml:space="preserve"> - проверка</t>
  </si>
  <si>
    <t xml:space="preserve"> - в обороте КК на 21 июля</t>
  </si>
  <si>
    <t xml:space="preserve"> - план привлечения КК на 2015 год по бюджету (июньская сессия)</t>
  </si>
  <si>
    <t xml:space="preserve"> - привлечено КК на 21 июля за 2015 год</t>
  </si>
  <si>
    <t xml:space="preserve">Расчет расходов на обслуживание государственного долга на новые заимствования </t>
  </si>
  <si>
    <t>Ожидаемое исполнение за 2016 год без учета расходов на новые заимствования (стр.2+стр.3)</t>
  </si>
  <si>
    <t>№ п/п</t>
  </si>
  <si>
    <t>Показатель</t>
  </si>
  <si>
    <t>Сумма, тыс. рублей</t>
  </si>
  <si>
    <t>План расходов до 31.12.2016 (по выбранным кредитам), в т.ч.:</t>
  </si>
  <si>
    <t>Ожидаемое исполнение за 2016 год (стр.4+стр.5)</t>
  </si>
  <si>
    <t>к пояснительной записке</t>
  </si>
  <si>
    <t>Ожидаемая экономия расходов на обслуживание государственного долга в 2016 году (стр.1-стр.6)</t>
  </si>
  <si>
    <t>Ожидаемые расходы на обслуживание государственного долга на новые заимствования (расчет прилагается)</t>
  </si>
  <si>
    <t>тыс. рублей</t>
  </si>
  <si>
    <t>ИТОГО:</t>
  </si>
  <si>
    <t>Израсходовано на обслуживание государственного долга на 30.08.2016, в т.ч.</t>
  </si>
  <si>
    <t>Расчет изменения плановых расходов на обслуживание долговых обязательств Архангельской области в 2016 году</t>
  </si>
  <si>
    <t>Приложение № 15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</si>
</sst>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dd\ mmm\ yy"/>
    <numFmt numFmtId="166" formatCode="#,##0.0"/>
    <numFmt numFmtId="167" formatCode="0.0%"/>
    <numFmt numFmtId="168" formatCode="0.000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3" fontId="3" fillId="0" borderId="1" xfId="1" applyNumberFormat="1" applyFont="1" applyBorder="1" applyAlignment="1">
      <alignment horizontal="center" vertical="center" wrapText="1" shrinkToFit="1"/>
    </xf>
    <xf numFmtId="165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/>
    <xf numFmtId="166" fontId="7" fillId="0" borderId="0" xfId="0" applyNumberFormat="1" applyFont="1"/>
    <xf numFmtId="166" fontId="8" fillId="2" borderId="0" xfId="0" applyNumberFormat="1" applyFont="1" applyFill="1"/>
    <xf numFmtId="3" fontId="0" fillId="0" borderId="0" xfId="0" applyNumberFormat="1"/>
    <xf numFmtId="167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166" fontId="9" fillId="2" borderId="0" xfId="0" applyNumberFormat="1" applyFont="1" applyFill="1"/>
    <xf numFmtId="1" fontId="9" fillId="2" borderId="0" xfId="0" applyNumberFormat="1" applyFont="1" applyFill="1"/>
    <xf numFmtId="3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0" fillId="3" borderId="0" xfId="0" applyFill="1"/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166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6" fontId="1" fillId="3" borderId="3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6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66" fontId="1" fillId="3" borderId="1" xfId="0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166" fontId="1" fillId="0" borderId="1" xfId="1" applyNumberFormat="1" applyFont="1" applyFill="1" applyBorder="1" applyAlignment="1">
      <alignment horizontal="center" vertical="center" wrapText="1" shrinkToFit="1"/>
    </xf>
    <xf numFmtId="166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 shrinkToFit="1"/>
    </xf>
    <xf numFmtId="0" fontId="10" fillId="0" borderId="0" xfId="0" applyFont="1"/>
    <xf numFmtId="4" fontId="10" fillId="0" borderId="0" xfId="0" applyNumberFormat="1" applyFont="1"/>
    <xf numFmtId="10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wrapTex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19"/>
  <sheetViews>
    <sheetView tabSelected="1" view="pageBreakPreview" zoomScale="130" zoomScaleSheetLayoutView="130" workbookViewId="0">
      <selection activeCell="B8" sqref="B8"/>
    </sheetView>
  </sheetViews>
  <sheetFormatPr defaultColWidth="8.85546875" defaultRowHeight="12.75"/>
  <cols>
    <col min="1" max="1" width="5.7109375" style="18" customWidth="1"/>
    <col min="2" max="2" width="66.5703125" style="18" customWidth="1"/>
    <col min="3" max="3" width="22" style="18" customWidth="1"/>
    <col min="4" max="5" width="8.85546875" style="18"/>
    <col min="6" max="6" width="10.7109375" style="18" bestFit="1" customWidth="1"/>
    <col min="7" max="16384" width="8.85546875" style="18"/>
  </cols>
  <sheetData>
    <row r="1" spans="1:8">
      <c r="C1" s="48" t="s">
        <v>35</v>
      </c>
    </row>
    <row r="2" spans="1:8">
      <c r="C2" s="48" t="s">
        <v>28</v>
      </c>
    </row>
    <row r="4" spans="1:8" ht="47.45" customHeight="1">
      <c r="A4" s="49" t="s">
        <v>34</v>
      </c>
      <c r="B4" s="49"/>
      <c r="C4" s="49"/>
      <c r="D4" s="19"/>
    </row>
    <row r="5" spans="1:8" ht="15">
      <c r="A5" s="20"/>
      <c r="B5" s="21"/>
      <c r="C5" s="22"/>
    </row>
    <row r="6" spans="1:8" ht="31.9" customHeight="1">
      <c r="A6" s="24" t="s">
        <v>23</v>
      </c>
      <c r="B6" s="24" t="s">
        <v>24</v>
      </c>
      <c r="C6" s="55" t="s">
        <v>25</v>
      </c>
    </row>
    <row r="7" spans="1:8" ht="36.6" customHeight="1">
      <c r="A7" s="23">
        <v>1</v>
      </c>
      <c r="B7" s="35" t="s">
        <v>6</v>
      </c>
      <c r="C7" s="36">
        <v>1476910</v>
      </c>
    </row>
    <row r="8" spans="1:8" ht="36" customHeight="1">
      <c r="A8" s="25">
        <v>2</v>
      </c>
      <c r="B8" s="26" t="s">
        <v>33</v>
      </c>
      <c r="C8" s="27">
        <f>C9+C10</f>
        <v>733898.02442999999</v>
      </c>
    </row>
    <row r="9" spans="1:8" ht="24" customHeight="1">
      <c r="A9" s="28"/>
      <c r="B9" s="29" t="s">
        <v>7</v>
      </c>
      <c r="C9" s="30">
        <v>718043.20851000003</v>
      </c>
      <c r="F9" s="31"/>
      <c r="G9" s="31"/>
      <c r="H9" s="31"/>
    </row>
    <row r="10" spans="1:8" ht="24" customHeight="1">
      <c r="A10" s="32"/>
      <c r="B10" s="33" t="s">
        <v>8</v>
      </c>
      <c r="C10" s="34">
        <v>15854.815919999999</v>
      </c>
      <c r="F10" s="31"/>
      <c r="G10" s="31"/>
      <c r="H10" s="31"/>
    </row>
    <row r="11" spans="1:8" ht="36.6" customHeight="1">
      <c r="A11" s="25">
        <v>3</v>
      </c>
      <c r="B11" s="26" t="s">
        <v>26</v>
      </c>
      <c r="C11" s="27">
        <f>C12+C13</f>
        <v>273761.46455999999</v>
      </c>
      <c r="F11" s="31"/>
      <c r="G11" s="31"/>
      <c r="H11" s="31"/>
    </row>
    <row r="12" spans="1:8" ht="24" customHeight="1">
      <c r="A12" s="28"/>
      <c r="B12" s="29" t="s">
        <v>7</v>
      </c>
      <c r="C12" s="30">
        <v>237595.5</v>
      </c>
      <c r="F12" s="31"/>
      <c r="G12" s="31"/>
      <c r="H12" s="31"/>
    </row>
    <row r="13" spans="1:8" ht="24" customHeight="1">
      <c r="A13" s="32"/>
      <c r="B13" s="33" t="s">
        <v>8</v>
      </c>
      <c r="C13" s="34">
        <v>36165.96456</v>
      </c>
      <c r="F13" s="31"/>
      <c r="G13" s="31"/>
      <c r="H13" s="31"/>
    </row>
    <row r="14" spans="1:8" ht="49.9" customHeight="1">
      <c r="A14" s="23">
        <v>4</v>
      </c>
      <c r="B14" s="35" t="s">
        <v>22</v>
      </c>
      <c r="C14" s="36">
        <f>C8+C11</f>
        <v>1007659.48899</v>
      </c>
      <c r="F14" s="31"/>
      <c r="G14" s="31"/>
      <c r="H14" s="31"/>
    </row>
    <row r="15" spans="1:8" ht="39.6" customHeight="1">
      <c r="A15" s="23">
        <v>5</v>
      </c>
      <c r="B15" s="35" t="s">
        <v>30</v>
      </c>
      <c r="C15" s="36">
        <f>'Новые заимствования'!G25</f>
        <v>324523.65048879833</v>
      </c>
    </row>
    <row r="16" spans="1:8" ht="51" customHeight="1">
      <c r="A16" s="23">
        <v>6</v>
      </c>
      <c r="B16" s="35" t="s">
        <v>27</v>
      </c>
      <c r="C16" s="36">
        <f>C14+C15</f>
        <v>1332183.1394787983</v>
      </c>
    </row>
    <row r="17" spans="1:3" ht="48.6" customHeight="1">
      <c r="A17" s="23">
        <v>7</v>
      </c>
      <c r="B17" s="35" t="s">
        <v>29</v>
      </c>
      <c r="C17" s="36">
        <f>C7-C16</f>
        <v>144726.86052120174</v>
      </c>
    </row>
    <row r="18" spans="1:3" ht="24" customHeight="1">
      <c r="A18" s="37"/>
      <c r="B18" s="38"/>
      <c r="C18" s="31"/>
    </row>
    <row r="19" spans="1:3" ht="24" customHeight="1"/>
  </sheetData>
  <mergeCells count="1">
    <mergeCell ref="A4:C4"/>
  </mergeCells>
  <phoneticPr fontId="0" type="noConversion"/>
  <pageMargins left="1.1417322834645669" right="0.35433070866141736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3:J71"/>
  <sheetViews>
    <sheetView view="pageBreakPreview" workbookViewId="0">
      <selection activeCell="O25" sqref="O25"/>
    </sheetView>
  </sheetViews>
  <sheetFormatPr defaultRowHeight="12.75"/>
  <cols>
    <col min="1" max="1" width="21.42578125" customWidth="1"/>
    <col min="2" max="2" width="22.7109375" customWidth="1"/>
    <col min="3" max="3" width="18.42578125" customWidth="1"/>
    <col min="4" max="4" width="18" customWidth="1"/>
    <col min="5" max="5" width="19.42578125" customWidth="1"/>
    <col min="6" max="6" width="17.42578125" customWidth="1"/>
    <col min="7" max="7" width="17.28515625" customWidth="1"/>
    <col min="9" max="9" width="20.7109375" style="12" customWidth="1"/>
  </cols>
  <sheetData>
    <row r="3" spans="1:7" ht="47.25" customHeight="1">
      <c r="A3" s="51" t="s">
        <v>21</v>
      </c>
      <c r="B3" s="51"/>
      <c r="C3" s="51"/>
      <c r="D3" s="51"/>
      <c r="E3" s="51"/>
      <c r="F3" s="51"/>
    </row>
    <row r="4" spans="1:7" ht="15">
      <c r="G4" s="41" t="s">
        <v>31</v>
      </c>
    </row>
    <row r="5" spans="1:7" ht="12.75" customHeight="1">
      <c r="A5" s="54" t="s">
        <v>0</v>
      </c>
      <c r="B5" s="53" t="s">
        <v>9</v>
      </c>
      <c r="C5" s="53" t="s">
        <v>1</v>
      </c>
      <c r="D5" s="52" t="s">
        <v>2</v>
      </c>
      <c r="E5" s="52" t="s">
        <v>3</v>
      </c>
      <c r="F5" s="53" t="s">
        <v>4</v>
      </c>
      <c r="G5" s="50" t="s">
        <v>5</v>
      </c>
    </row>
    <row r="6" spans="1:7" ht="13.15" customHeight="1">
      <c r="A6" s="54"/>
      <c r="B6" s="53"/>
      <c r="C6" s="53"/>
      <c r="D6" s="52"/>
      <c r="E6" s="52"/>
      <c r="F6" s="53"/>
      <c r="G6" s="50"/>
    </row>
    <row r="7" spans="1:7" ht="39.6" customHeight="1">
      <c r="A7" s="54"/>
      <c r="B7" s="53"/>
      <c r="C7" s="53"/>
      <c r="D7" s="52"/>
      <c r="E7" s="52"/>
      <c r="F7" s="53"/>
      <c r="G7" s="50"/>
    </row>
    <row r="8" spans="1:7" ht="16.5" customHeight="1">
      <c r="A8" s="42">
        <f>180000*4</f>
        <v>720000</v>
      </c>
      <c r="B8" s="8">
        <v>8.5999999999999993E-2</v>
      </c>
      <c r="C8" s="9">
        <f t="shared" ref="C8:C16" si="0">IF(B8&gt;0,B8*(1),"")</f>
        <v>8.5999999999999993E-2</v>
      </c>
      <c r="D8" s="2">
        <v>42615</v>
      </c>
      <c r="E8" s="2">
        <v>42724</v>
      </c>
      <c r="F8" s="3">
        <f t="shared" ref="F8:F16" si="1">IF(D8&gt;0,E8-D8+1,"")</f>
        <v>110</v>
      </c>
      <c r="G8" s="39">
        <f t="shared" ref="G8:G23" si="2">C8/366*F8*A8</f>
        <v>18609.836065573771</v>
      </c>
    </row>
    <row r="9" spans="1:7" ht="16.5" customHeight="1">
      <c r="A9" s="42">
        <f>180000*5</f>
        <v>900000</v>
      </c>
      <c r="B9" s="8">
        <v>8.5999999999999993E-2</v>
      </c>
      <c r="C9" s="9">
        <f t="shared" ref="C9" si="3">IF(B9&gt;0,B9*(1),"")</f>
        <v>8.5999999999999993E-2</v>
      </c>
      <c r="D9" s="2">
        <v>42618</v>
      </c>
      <c r="E9" s="2">
        <v>42724</v>
      </c>
      <c r="F9" s="3">
        <f t="shared" ref="F9" si="4">IF(D9&gt;0,E9-D9+1,"")</f>
        <v>107</v>
      </c>
      <c r="G9" s="39">
        <f t="shared" si="2"/>
        <v>22627.868852459018</v>
      </c>
    </row>
    <row r="10" spans="1:7" ht="16.5" customHeight="1">
      <c r="A10" s="42">
        <f>180000*2</f>
        <v>360000</v>
      </c>
      <c r="B10" s="8">
        <v>8.5999999999999993E-2</v>
      </c>
      <c r="C10" s="9">
        <f t="shared" ref="C10" si="5">IF(B10&gt;0,B10*(1),"")</f>
        <v>8.5999999999999993E-2</v>
      </c>
      <c r="D10" s="2">
        <v>42621</v>
      </c>
      <c r="E10" s="2">
        <v>42724</v>
      </c>
      <c r="F10" s="3">
        <f t="shared" ref="F10" si="6">IF(D10&gt;0,E10-D10+1,"")</f>
        <v>104</v>
      </c>
      <c r="G10" s="39">
        <f t="shared" si="2"/>
        <v>8797.377049180328</v>
      </c>
    </row>
    <row r="11" spans="1:7" ht="16.5" customHeight="1">
      <c r="A11" s="42">
        <f>180000*6</f>
        <v>1080000</v>
      </c>
      <c r="B11" s="8">
        <v>8.5999999999999993E-2</v>
      </c>
      <c r="C11" s="9">
        <f t="shared" ref="C11" si="7">IF(B11&gt;0,B11*(1),"")</f>
        <v>8.5999999999999993E-2</v>
      </c>
      <c r="D11" s="2">
        <v>42622</v>
      </c>
      <c r="E11" s="2">
        <v>42724</v>
      </c>
      <c r="F11" s="3">
        <f t="shared" ref="F11" si="8">IF(D11&gt;0,E11-D11+1,"")</f>
        <v>103</v>
      </c>
      <c r="G11" s="39">
        <f t="shared" si="2"/>
        <v>26138.360655737702</v>
      </c>
    </row>
    <row r="12" spans="1:7" ht="16.5" customHeight="1">
      <c r="A12" s="42">
        <f>180000+59903.4</f>
        <v>239903.4</v>
      </c>
      <c r="B12" s="8">
        <v>8.5999999999999993E-2</v>
      </c>
      <c r="C12" s="9">
        <f t="shared" ref="C12" si="9">IF(B12&gt;0,B12*(1),"")</f>
        <v>8.5999999999999993E-2</v>
      </c>
      <c r="D12" s="2">
        <v>42629</v>
      </c>
      <c r="E12" s="2">
        <v>42724</v>
      </c>
      <c r="F12" s="3">
        <f t="shared" ref="F12" si="10">IF(D12&gt;0,E12-D12+1,"")</f>
        <v>96</v>
      </c>
      <c r="G12" s="39">
        <f t="shared" si="2"/>
        <v>5411.5914491803278</v>
      </c>
    </row>
    <row r="13" spans="1:7" ht="16.5" customHeight="1">
      <c r="A13" s="42">
        <v>540096.6</v>
      </c>
      <c r="B13" s="8">
        <v>8.5999999999999993E-2</v>
      </c>
      <c r="C13" s="9">
        <f t="shared" ref="C13" si="11">IF(B13&gt;0,B13*(1),"")</f>
        <v>8.5999999999999993E-2</v>
      </c>
      <c r="D13" s="2">
        <v>42629</v>
      </c>
      <c r="E13" s="2">
        <v>42724</v>
      </c>
      <c r="F13" s="3">
        <f t="shared" ref="F13" si="12">IF(D13&gt;0,E13-D13+1,"")</f>
        <v>96</v>
      </c>
      <c r="G13" s="39">
        <f t="shared" si="2"/>
        <v>12183.162649180327</v>
      </c>
    </row>
    <row r="14" spans="1:7" ht="16.5" customHeight="1">
      <c r="A14" s="42">
        <v>1459903.4</v>
      </c>
      <c r="B14" s="45">
        <v>0.1108</v>
      </c>
      <c r="C14" s="9">
        <f>IF(B14&gt;0,B14*(1),"")</f>
        <v>0.1108</v>
      </c>
      <c r="D14" s="2">
        <v>42629</v>
      </c>
      <c r="E14" s="2">
        <v>42724</v>
      </c>
      <c r="F14" s="3">
        <f>IF(D14&gt;0,E14-D14+1,"")</f>
        <v>96</v>
      </c>
      <c r="G14" s="39">
        <f t="shared" si="2"/>
        <v>42428.143401967209</v>
      </c>
    </row>
    <row r="15" spans="1:7" ht="16.5" customHeight="1">
      <c r="A15" s="42">
        <v>540096.6</v>
      </c>
      <c r="B15" s="45">
        <v>0.1108</v>
      </c>
      <c r="C15" s="9">
        <f t="shared" si="0"/>
        <v>0.1108</v>
      </c>
      <c r="D15" s="2">
        <v>42653</v>
      </c>
      <c r="E15" s="2">
        <v>42724</v>
      </c>
      <c r="F15" s="3">
        <f t="shared" ref="F15" si="13">IF(D15&gt;0,E15-D15+1,"")</f>
        <v>72</v>
      </c>
      <c r="G15" s="39">
        <f t="shared" si="2"/>
        <v>11772.335071475409</v>
      </c>
    </row>
    <row r="16" spans="1:7" ht="16.5" customHeight="1">
      <c r="A16" s="42">
        <v>2000000</v>
      </c>
      <c r="B16" s="8">
        <v>0.115</v>
      </c>
      <c r="C16" s="9">
        <f t="shared" si="0"/>
        <v>0.115</v>
      </c>
      <c r="D16" s="2">
        <v>42653</v>
      </c>
      <c r="E16" s="2">
        <v>42724</v>
      </c>
      <c r="F16" s="3">
        <f t="shared" si="1"/>
        <v>72</v>
      </c>
      <c r="G16" s="39">
        <f t="shared" si="2"/>
        <v>45245.901639344265</v>
      </c>
    </row>
    <row r="17" spans="1:10" ht="16.5" customHeight="1">
      <c r="A17" s="42">
        <v>2000000</v>
      </c>
      <c r="B17" s="8">
        <v>0.12</v>
      </c>
      <c r="C17" s="9">
        <f t="shared" ref="C17" si="14">IF(B17&gt;0,B17*(1),"")</f>
        <v>0.12</v>
      </c>
      <c r="D17" s="2">
        <v>42653</v>
      </c>
      <c r="E17" s="2">
        <v>42656</v>
      </c>
      <c r="F17" s="3">
        <f t="shared" ref="F17" si="15">IF(D17&gt;0,E17-D17+1,"")</f>
        <v>4</v>
      </c>
      <c r="G17" s="39">
        <f t="shared" si="2"/>
        <v>2622.9508196721313</v>
      </c>
    </row>
    <row r="18" spans="1:10" ht="16.5" customHeight="1">
      <c r="A18" s="42">
        <v>275636.40000000002</v>
      </c>
      <c r="B18" s="45">
        <v>0.12429999999999999</v>
      </c>
      <c r="C18" s="9">
        <f t="shared" ref="C18:C19" si="16">IF(B18&gt;0,B18*(1),"")</f>
        <v>0.12429999999999999</v>
      </c>
      <c r="D18" s="2">
        <v>42653</v>
      </c>
      <c r="E18" s="2">
        <v>42656</v>
      </c>
      <c r="F18" s="3">
        <f t="shared" ref="F18:F19" si="17">IF(D18&gt;0,E18-D18+1,"")</f>
        <v>4</v>
      </c>
      <c r="G18" s="39">
        <f t="shared" si="2"/>
        <v>374.44376524590166</v>
      </c>
    </row>
    <row r="19" spans="1:10" ht="16.5" customHeight="1">
      <c r="A19" s="42">
        <v>800000</v>
      </c>
      <c r="B19" s="45">
        <v>0.12</v>
      </c>
      <c r="C19" s="9">
        <f t="shared" si="16"/>
        <v>0.12</v>
      </c>
      <c r="D19" s="2">
        <v>42656</v>
      </c>
      <c r="E19" s="2">
        <v>42724</v>
      </c>
      <c r="F19" s="3">
        <f t="shared" si="17"/>
        <v>69</v>
      </c>
      <c r="G19" s="39">
        <f t="shared" si="2"/>
        <v>18098.360655737706</v>
      </c>
    </row>
    <row r="20" spans="1:10" ht="16.5" customHeight="1">
      <c r="A20" s="42">
        <v>1200000</v>
      </c>
      <c r="B20" s="45">
        <v>0.12</v>
      </c>
      <c r="C20" s="9">
        <f t="shared" ref="C20" si="18">IF(B20&gt;0,B20*(1),"")</f>
        <v>0.12</v>
      </c>
      <c r="D20" s="2">
        <v>42663</v>
      </c>
      <c r="E20" s="2">
        <v>42724</v>
      </c>
      <c r="F20" s="3">
        <f t="shared" ref="F20" si="19">IF(D20&gt;0,E20-D20+1,"")</f>
        <v>62</v>
      </c>
      <c r="G20" s="39">
        <f t="shared" si="2"/>
        <v>24393.442622950817</v>
      </c>
    </row>
    <row r="21" spans="1:10" ht="16.5" customHeight="1">
      <c r="A21" s="42">
        <v>2000000</v>
      </c>
      <c r="B21" s="45">
        <v>0.12429999999999999</v>
      </c>
      <c r="C21" s="9">
        <f t="shared" ref="C21" si="20">IF(B21&gt;0,B21*(1),"")</f>
        <v>0.12429999999999999</v>
      </c>
      <c r="D21" s="2">
        <v>42677</v>
      </c>
      <c r="E21" s="2">
        <v>42724</v>
      </c>
      <c r="F21" s="3">
        <f t="shared" ref="F21" si="21">IF(D21&gt;0,E21-D21+1,"")</f>
        <v>48</v>
      </c>
      <c r="G21" s="39">
        <f t="shared" ref="G21" si="22">C21/366*F21*A21</f>
        <v>32603.278688524591</v>
      </c>
    </row>
    <row r="22" spans="1:10" ht="16.5" customHeight="1">
      <c r="A22" s="42">
        <f>1830000+3994.5486+1456.9</f>
        <v>1835451.4486</v>
      </c>
      <c r="B22" s="45">
        <v>0.12429999999999999</v>
      </c>
      <c r="C22" s="9">
        <f t="shared" ref="C22" si="23">IF(B22&gt;0,B22*(1),"")</f>
        <v>0.12429999999999999</v>
      </c>
      <c r="D22" s="2">
        <v>42684</v>
      </c>
      <c r="E22" s="2">
        <v>42724</v>
      </c>
      <c r="F22" s="3">
        <f t="shared" ref="F22" si="24">IF(D22&gt;0,E22-D22+1,"")</f>
        <v>41</v>
      </c>
      <c r="G22" s="39">
        <f t="shared" ref="G22" si="25">C22/366*F22*A22</f>
        <v>25557.407698087922</v>
      </c>
    </row>
    <row r="23" spans="1:10" ht="16.5" customHeight="1">
      <c r="A23" s="42">
        <v>2275636.4</v>
      </c>
      <c r="B23" s="45">
        <v>0.12429999999999999</v>
      </c>
      <c r="C23" s="9">
        <f>IF(B23&gt;0,B23*(1),"")</f>
        <v>0.12429999999999999</v>
      </c>
      <c r="D23" s="2">
        <v>42698</v>
      </c>
      <c r="E23" s="2">
        <v>42724</v>
      </c>
      <c r="F23" s="3">
        <f t="shared" ref="F23" si="26">IF(D23&gt;0,E23-D23+1,"")</f>
        <v>27</v>
      </c>
      <c r="G23" s="39">
        <f t="shared" si="2"/>
        <v>20866.839677704917</v>
      </c>
    </row>
    <row r="24" spans="1:10" ht="16.5" customHeight="1">
      <c r="A24" s="42">
        <v>1000000</v>
      </c>
      <c r="B24" s="45">
        <v>0.12429999999999999</v>
      </c>
      <c r="C24" s="9">
        <f t="shared" ref="C24" si="27">IF(B24&gt;0,B24*(1),"")</f>
        <v>0.12429999999999999</v>
      </c>
      <c r="D24" s="2">
        <v>42705</v>
      </c>
      <c r="E24" s="2">
        <v>42724</v>
      </c>
      <c r="F24" s="3">
        <f t="shared" ref="F24" si="28">IF(D24&gt;0,E24-D24+1,"")</f>
        <v>20</v>
      </c>
      <c r="G24" s="39">
        <f>C24/366*F24*A24</f>
        <v>6792.3497267759558</v>
      </c>
    </row>
    <row r="25" spans="1:10" s="43" customFormat="1" ht="21.75" customHeight="1">
      <c r="A25" s="47" t="s">
        <v>32</v>
      </c>
      <c r="B25" s="45"/>
      <c r="C25" s="46"/>
      <c r="D25" s="2"/>
      <c r="E25" s="2"/>
      <c r="F25" s="3"/>
      <c r="G25" s="40">
        <f>SUM(G8:G24)</f>
        <v>324523.65048879833</v>
      </c>
      <c r="I25" s="44" t="e">
        <f>A25-A33</f>
        <v>#VALUE!</v>
      </c>
      <c r="J25" s="43" t="s">
        <v>17</v>
      </c>
    </row>
    <row r="26" spans="1:10">
      <c r="A26" s="7"/>
    </row>
    <row r="29" spans="1:10" s="4" customFormat="1">
      <c r="A29" s="4">
        <v>12299903400</v>
      </c>
      <c r="B29" s="5" t="s">
        <v>18</v>
      </c>
      <c r="F29" s="10">
        <v>1</v>
      </c>
      <c r="G29" s="7"/>
      <c r="I29" s="12"/>
    </row>
    <row r="30" spans="1:10" s="4" customFormat="1">
      <c r="B30" s="5" t="s">
        <v>20</v>
      </c>
      <c r="F30" s="10">
        <v>2</v>
      </c>
      <c r="G30" s="7"/>
      <c r="I30" s="12"/>
    </row>
    <row r="31" spans="1:10" s="4" customFormat="1">
      <c r="A31" s="5">
        <v>9904628300</v>
      </c>
      <c r="B31" s="5" t="s">
        <v>19</v>
      </c>
      <c r="F31" s="10">
        <v>3</v>
      </c>
      <c r="G31" s="7"/>
      <c r="I31" s="12"/>
    </row>
    <row r="32" spans="1:10" s="4" customFormat="1">
      <c r="A32" s="5">
        <f>13608501100-95371700</f>
        <v>13513129400</v>
      </c>
      <c r="B32" s="5" t="s">
        <v>15</v>
      </c>
      <c r="F32" s="10">
        <v>4</v>
      </c>
      <c r="G32" s="7"/>
      <c r="I32" s="12"/>
    </row>
    <row r="33" spans="1:10" s="4" customFormat="1">
      <c r="A33" s="13">
        <f>A32</f>
        <v>13513129400</v>
      </c>
      <c r="B33" s="13" t="s">
        <v>16</v>
      </c>
      <c r="C33" s="13"/>
      <c r="D33" s="13"/>
      <c r="E33" s="13"/>
      <c r="F33" s="14">
        <v>5</v>
      </c>
      <c r="G33" s="7"/>
      <c r="I33" s="12"/>
    </row>
    <row r="34" spans="1:10" s="4" customFormat="1">
      <c r="A34" s="4">
        <v>0</v>
      </c>
      <c r="B34" s="4" t="s">
        <v>10</v>
      </c>
      <c r="F34" s="10">
        <v>6</v>
      </c>
      <c r="G34" s="7"/>
      <c r="I34" s="12"/>
    </row>
    <row r="35" spans="1:10" s="4" customFormat="1">
      <c r="A35" s="4">
        <f>A29-A34+A33</f>
        <v>25813032800</v>
      </c>
      <c r="B35" s="4" t="s">
        <v>11</v>
      </c>
      <c r="F35" s="10"/>
      <c r="G35" s="7">
        <v>25813032800</v>
      </c>
      <c r="H35" s="5" t="s">
        <v>12</v>
      </c>
      <c r="I35" s="12"/>
    </row>
    <row r="36" spans="1:10" s="4" customFormat="1">
      <c r="A36" s="6">
        <v>0</v>
      </c>
      <c r="B36" s="6" t="s">
        <v>14</v>
      </c>
      <c r="C36" s="6"/>
      <c r="D36" s="6"/>
      <c r="E36" s="6"/>
      <c r="F36" s="11">
        <v>7</v>
      </c>
      <c r="G36" s="15">
        <f>G35-A35</f>
        <v>0</v>
      </c>
      <c r="H36" s="16" t="s">
        <v>13</v>
      </c>
      <c r="I36" s="17"/>
      <c r="J36" s="16"/>
    </row>
    <row r="37" spans="1:10">
      <c r="F37" s="10"/>
      <c r="G37" s="7"/>
    </row>
    <row r="38" spans="1:10">
      <c r="A38" s="4">
        <v>10000000000</v>
      </c>
      <c r="B38" s="4">
        <f>A29+A32</f>
        <v>25813032800</v>
      </c>
      <c r="C38" s="4">
        <f>B38-G35</f>
        <v>0</v>
      </c>
    </row>
    <row r="39" spans="1:10">
      <c r="A39" s="4">
        <v>2000000000</v>
      </c>
      <c r="B39" s="4"/>
    </row>
    <row r="40" spans="1:10">
      <c r="A40" s="4">
        <v>500000000</v>
      </c>
      <c r="B40" s="4"/>
    </row>
    <row r="41" spans="1:10">
      <c r="A41" s="4">
        <v>500000000</v>
      </c>
      <c r="B41" s="4"/>
    </row>
    <row r="42" spans="1:10">
      <c r="A42" s="4">
        <v>180000000</v>
      </c>
      <c r="B42" s="4"/>
    </row>
    <row r="43" spans="1:10">
      <c r="A43" s="4">
        <v>428501100</v>
      </c>
      <c r="B43" s="4"/>
    </row>
    <row r="44" spans="1:10">
      <c r="A44" s="4">
        <f>SUM(A38:A43)</f>
        <v>13608501100</v>
      </c>
      <c r="B44" s="4"/>
    </row>
    <row r="45" spans="1:10">
      <c r="A45" s="4"/>
      <c r="B45" s="4"/>
    </row>
    <row r="46" spans="1:10">
      <c r="A46" s="4"/>
      <c r="B46" s="4"/>
    </row>
    <row r="47" spans="1:10" ht="15">
      <c r="A47" s="1">
        <f>4354684000</f>
        <v>4354684000</v>
      </c>
      <c r="B47" s="8">
        <v>0.12</v>
      </c>
      <c r="C47" s="9">
        <f>IF(B47&gt;0,B47*(1),"")</f>
        <v>0.12</v>
      </c>
      <c r="D47" s="2">
        <v>42223</v>
      </c>
      <c r="E47" s="2">
        <v>42229</v>
      </c>
      <c r="F47" s="3">
        <f>IF(D47&gt;0,E47-D47+1,"")</f>
        <v>7</v>
      </c>
      <c r="G47" s="3">
        <f>C47/365*F47*A47</f>
        <v>10021738.520547947</v>
      </c>
    </row>
    <row r="48" spans="1:10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</sheetData>
  <mergeCells count="8">
    <mergeCell ref="G5:G7"/>
    <mergeCell ref="A3:F3"/>
    <mergeCell ref="D5:D7"/>
    <mergeCell ref="E5:E7"/>
    <mergeCell ref="F5:F7"/>
    <mergeCell ref="A5:A7"/>
    <mergeCell ref="B5:B7"/>
    <mergeCell ref="C5:C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Footer>&amp;R&amp;T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</vt:lpstr>
      <vt:lpstr>Новые заимствования</vt:lpstr>
      <vt:lpstr>'Новые заимствования'!Область_печати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2016-09-06T07:35:00Z</cp:lastPrinted>
  <dcterms:created xsi:type="dcterms:W3CDTF">1996-10-08T23:32:33Z</dcterms:created>
  <dcterms:modified xsi:type="dcterms:W3CDTF">2016-09-06T07:35:03Z</dcterms:modified>
</cp:coreProperties>
</file>