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11745"/>
  </bookViews>
  <sheets>
    <sheet name="Лист1" sheetId="4" r:id="rId1"/>
  </sheets>
  <definedNames>
    <definedName name="_xlnm.Print_Titles" localSheetId="0">Лист1!$4:$6</definedName>
    <definedName name="_xlnm.Print_Area" localSheetId="0">Лист1!$A$1:$Q$127</definedName>
  </definedNames>
  <calcPr calcId="125725"/>
</workbook>
</file>

<file path=xl/calcChain.xml><?xml version="1.0" encoding="utf-8"?>
<calcChain xmlns="http://schemas.openxmlformats.org/spreadsheetml/2006/main">
  <c r="M19" i="4"/>
  <c r="O19"/>
  <c r="J120"/>
  <c r="J117"/>
  <c r="J114"/>
  <c r="J112"/>
  <c r="J103"/>
  <c r="J92"/>
  <c r="J90"/>
  <c r="J86"/>
  <c r="J81"/>
  <c r="J80"/>
  <c r="J79"/>
  <c r="J73"/>
  <c r="J71"/>
  <c r="J69" s="1"/>
  <c r="J64"/>
  <c r="J62"/>
  <c r="J61"/>
  <c r="J60"/>
  <c r="J59" s="1"/>
  <c r="J57"/>
  <c r="J52"/>
  <c r="J51"/>
  <c r="J50" s="1"/>
  <c r="J39" s="1"/>
  <c r="J41"/>
  <c r="J34"/>
  <c r="J29"/>
  <c r="J17" s="1"/>
  <c r="J9"/>
  <c r="O107"/>
  <c r="J76" l="1"/>
  <c r="J75" s="1"/>
  <c r="J8"/>
  <c r="N19"/>
  <c r="O62"/>
  <c r="O80"/>
  <c r="O46" l="1"/>
  <c r="O124"/>
  <c r="O113" l="1"/>
  <c r="N113"/>
  <c r="M113"/>
  <c r="O105"/>
  <c r="O70"/>
  <c r="O65"/>
  <c r="O58"/>
  <c r="O51"/>
  <c r="O12" l="1"/>
  <c r="J126"/>
  <c r="J123"/>
  <c r="J7" s="1"/>
  <c r="N51"/>
  <c r="M51"/>
  <c r="N70"/>
  <c r="M70"/>
  <c r="N46"/>
  <c r="M46"/>
  <c r="N65"/>
  <c r="M65"/>
  <c r="N105"/>
  <c r="M105"/>
  <c r="N124"/>
  <c r="M124"/>
  <c r="N80"/>
  <c r="M80"/>
  <c r="N12"/>
  <c r="M12"/>
  <c r="O66"/>
  <c r="O53"/>
  <c r="N125"/>
  <c r="M125"/>
  <c r="N53"/>
  <c r="M53"/>
  <c r="N29"/>
  <c r="M29"/>
  <c r="N62"/>
  <c r="M62"/>
  <c r="O104"/>
  <c r="O52"/>
  <c r="N104"/>
  <c r="M104"/>
  <c r="N32"/>
  <c r="M32"/>
  <c r="N66"/>
  <c r="M66"/>
  <c r="O71" l="1"/>
  <c r="O42"/>
  <c r="O47"/>
  <c r="O61"/>
  <c r="N52"/>
  <c r="M52"/>
  <c r="N42"/>
  <c r="M42"/>
  <c r="N71"/>
  <c r="M71"/>
  <c r="N47"/>
  <c r="M47"/>
  <c r="N61"/>
  <c r="M61"/>
  <c r="L103"/>
  <c r="K103"/>
  <c r="P89" l="1"/>
  <c r="P88"/>
  <c r="L86"/>
  <c r="K86"/>
  <c r="P87"/>
  <c r="L80"/>
  <c r="K80"/>
  <c r="L71"/>
  <c r="K71"/>
  <c r="L62"/>
  <c r="K62"/>
  <c r="L61"/>
  <c r="K61"/>
  <c r="L60"/>
  <c r="K60"/>
  <c r="L52"/>
  <c r="K52"/>
  <c r="L51"/>
  <c r="K51"/>
  <c r="L41"/>
  <c r="K41"/>
  <c r="P49"/>
  <c r="Q48"/>
  <c r="P48"/>
  <c r="L34"/>
  <c r="K34"/>
  <c r="P38"/>
  <c r="P33"/>
  <c r="Q32"/>
  <c r="P32"/>
  <c r="Q31"/>
  <c r="P31"/>
  <c r="M30" l="1"/>
  <c r="N30"/>
  <c r="O30"/>
  <c r="Q30" s="1"/>
  <c r="O79"/>
  <c r="N79"/>
  <c r="O43"/>
  <c r="K90"/>
  <c r="L90"/>
  <c r="M90"/>
  <c r="N90"/>
  <c r="O90"/>
  <c r="P30" l="1"/>
  <c r="K120"/>
  <c r="K117"/>
  <c r="K114"/>
  <c r="K112"/>
  <c r="K92"/>
  <c r="K81"/>
  <c r="K79"/>
  <c r="K73"/>
  <c r="K69"/>
  <c r="K64"/>
  <c r="K59"/>
  <c r="K57"/>
  <c r="K50"/>
  <c r="K29"/>
  <c r="K17" s="1"/>
  <c r="K9"/>
  <c r="P121"/>
  <c r="O120"/>
  <c r="N120"/>
  <c r="M120"/>
  <c r="L120"/>
  <c r="O81"/>
  <c r="O76" s="1"/>
  <c r="O74"/>
  <c r="K76" l="1"/>
  <c r="K75" s="1"/>
  <c r="K8"/>
  <c r="P120"/>
  <c r="K39"/>
  <c r="O41"/>
  <c r="O18"/>
  <c r="N43"/>
  <c r="N41" s="1"/>
  <c r="M43"/>
  <c r="M41" s="1"/>
  <c r="N81"/>
  <c r="N76" s="1"/>
  <c r="M81"/>
  <c r="M79"/>
  <c r="L81"/>
  <c r="L79"/>
  <c r="N74"/>
  <c r="M74"/>
  <c r="N18"/>
  <c r="M18"/>
  <c r="L29"/>
  <c r="L17" s="1"/>
  <c r="Q111"/>
  <c r="P111"/>
  <c r="O59"/>
  <c r="N59"/>
  <c r="M59"/>
  <c r="Q63"/>
  <c r="P63"/>
  <c r="M76" l="1"/>
  <c r="L76"/>
  <c r="O21"/>
  <c r="O17" s="1"/>
  <c r="N21"/>
  <c r="N17" s="1"/>
  <c r="M21"/>
  <c r="M17" s="1"/>
  <c r="O103"/>
  <c r="N107"/>
  <c r="N103" s="1"/>
  <c r="M107"/>
  <c r="M103" s="1"/>
  <c r="O35"/>
  <c r="O34" s="1"/>
  <c r="N35"/>
  <c r="N34" s="1"/>
  <c r="M35"/>
  <c r="M34" s="1"/>
  <c r="Q107" l="1"/>
  <c r="P107"/>
  <c r="O126"/>
  <c r="N126"/>
  <c r="M126"/>
  <c r="O123"/>
  <c r="N123"/>
  <c r="M123"/>
  <c r="O117"/>
  <c r="Q117" s="1"/>
  <c r="N117"/>
  <c r="M117"/>
  <c r="Q127"/>
  <c r="P127"/>
  <c r="Q125"/>
  <c r="P125"/>
  <c r="Q124"/>
  <c r="P124"/>
  <c r="Q119"/>
  <c r="P119"/>
  <c r="Q118"/>
  <c r="P118"/>
  <c r="L126"/>
  <c r="L123"/>
  <c r="K126"/>
  <c r="K123"/>
  <c r="K7" s="1"/>
  <c r="L117"/>
  <c r="P117" s="1"/>
  <c r="P126" l="1"/>
  <c r="P123"/>
  <c r="Q123"/>
  <c r="Q126"/>
  <c r="Q72"/>
  <c r="P72"/>
  <c r="Q71"/>
  <c r="P71"/>
  <c r="L69"/>
  <c r="L73"/>
  <c r="M73"/>
  <c r="N73"/>
  <c r="O73"/>
  <c r="P74"/>
  <c r="Q74"/>
  <c r="L64"/>
  <c r="Q68"/>
  <c r="P68"/>
  <c r="Q67"/>
  <c r="P67"/>
  <c r="Q62"/>
  <c r="P62"/>
  <c r="L59"/>
  <c r="Q56"/>
  <c r="P56"/>
  <c r="L50"/>
  <c r="Q37"/>
  <c r="P37"/>
  <c r="Q36"/>
  <c r="P36"/>
  <c r="Q35"/>
  <c r="P35"/>
  <c r="Q29"/>
  <c r="P29"/>
  <c r="Q16"/>
  <c r="P16"/>
  <c r="Q15"/>
  <c r="P15"/>
  <c r="O9"/>
  <c r="N9"/>
  <c r="M9"/>
  <c r="L9"/>
  <c r="L8" s="1"/>
  <c r="Q73" l="1"/>
  <c r="L75"/>
  <c r="Q34"/>
  <c r="P34"/>
  <c r="P73"/>
  <c r="O64" l="1"/>
  <c r="N64"/>
  <c r="M64"/>
  <c r="O8"/>
  <c r="N8"/>
  <c r="N75"/>
  <c r="P105"/>
  <c r="P47"/>
  <c r="P42"/>
  <c r="O69"/>
  <c r="N69"/>
  <c r="O50"/>
  <c r="N50"/>
  <c r="M50"/>
  <c r="P116"/>
  <c r="P115"/>
  <c r="Q113"/>
  <c r="P113"/>
  <c r="P109"/>
  <c r="Q108"/>
  <c r="P108"/>
  <c r="Q105"/>
  <c r="Q104"/>
  <c r="P104"/>
  <c r="P98"/>
  <c r="P97"/>
  <c r="Q96"/>
  <c r="P96"/>
  <c r="Q95"/>
  <c r="P95"/>
  <c r="Q94"/>
  <c r="P94"/>
  <c r="P93"/>
  <c r="Q86"/>
  <c r="P86"/>
  <c r="Q84"/>
  <c r="P84"/>
  <c r="Q83"/>
  <c r="P83"/>
  <c r="Q82"/>
  <c r="P82"/>
  <c r="Q81"/>
  <c r="P81"/>
  <c r="Q80"/>
  <c r="P80"/>
  <c r="P79"/>
  <c r="Q77"/>
  <c r="P77"/>
  <c r="P70"/>
  <c r="Q66"/>
  <c r="P66"/>
  <c r="Q65"/>
  <c r="P65"/>
  <c r="P61"/>
  <c r="P60"/>
  <c r="Q58"/>
  <c r="P58"/>
  <c r="P55"/>
  <c r="P54"/>
  <c r="Q53"/>
  <c r="P53"/>
  <c r="Q52"/>
  <c r="P52"/>
  <c r="Q51"/>
  <c r="P51"/>
  <c r="Q47"/>
  <c r="Q46"/>
  <c r="P46"/>
  <c r="Q45"/>
  <c r="P45"/>
  <c r="Q44"/>
  <c r="P44"/>
  <c r="Q43"/>
  <c r="P43"/>
  <c r="Q42"/>
  <c r="Q40"/>
  <c r="P40"/>
  <c r="P28"/>
  <c r="P26"/>
  <c r="P25"/>
  <c r="P24"/>
  <c r="P23"/>
  <c r="P21"/>
  <c r="Q19"/>
  <c r="P19"/>
  <c r="Q18"/>
  <c r="P18"/>
  <c r="Q13"/>
  <c r="P13"/>
  <c r="Q12"/>
  <c r="P12"/>
  <c r="Q11"/>
  <c r="P11"/>
  <c r="Q70" l="1"/>
  <c r="M69"/>
  <c r="Q69" s="1"/>
  <c r="Q76"/>
  <c r="M75"/>
  <c r="O75"/>
  <c r="P76"/>
  <c r="Q21"/>
  <c r="M8"/>
  <c r="Q61"/>
  <c r="Q79"/>
  <c r="O114"/>
  <c r="O112"/>
  <c r="O92"/>
  <c r="O57"/>
  <c r="N114"/>
  <c r="N112"/>
  <c r="N92"/>
  <c r="N57"/>
  <c r="N39"/>
  <c r="M114"/>
  <c r="M112"/>
  <c r="Q103"/>
  <c r="M92"/>
  <c r="Q64"/>
  <c r="Q59"/>
  <c r="M57"/>
  <c r="Q50"/>
  <c r="L114"/>
  <c r="L112"/>
  <c r="P103"/>
  <c r="L92"/>
  <c r="L57"/>
  <c r="N7" l="1"/>
  <c r="Q75"/>
  <c r="Q17"/>
  <c r="Q41"/>
  <c r="Q57"/>
  <c r="P57"/>
  <c r="P114"/>
  <c r="P92"/>
  <c r="Q92"/>
  <c r="Q112"/>
  <c r="P112"/>
  <c r="P69"/>
  <c r="P64"/>
  <c r="P59"/>
  <c r="P50"/>
  <c r="P17"/>
  <c r="P8"/>
  <c r="P9"/>
  <c r="Q8"/>
  <c r="Q9"/>
  <c r="O39"/>
  <c r="O7" s="1"/>
  <c r="P41"/>
  <c r="P75"/>
  <c r="L39"/>
  <c r="L7" s="1"/>
  <c r="M39"/>
  <c r="M7" s="1"/>
  <c r="Q39" l="1"/>
  <c r="Q7"/>
  <c r="P39"/>
  <c r="P7"/>
  <c r="A7"/>
  <c r="E7"/>
  <c r="D7"/>
  <c r="C7"/>
  <c r="B7"/>
</calcChain>
</file>

<file path=xl/sharedStrings.xml><?xml version="1.0" encoding="utf-8"?>
<sst xmlns="http://schemas.openxmlformats.org/spreadsheetml/2006/main" count="429" uniqueCount="193">
  <si>
    <t>2. Предоставление доступного и комфортного жилья 60 процентам семей, проживающих в Архангельской области и желающих улучшить свои жилищные условия, в том числе:</t>
  </si>
  <si>
    <t>Ввод в 2015 году</t>
  </si>
  <si>
    <t>1.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инфраструктуры, в том числе:</t>
  </si>
  <si>
    <t>I. 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(2014 - 2020 годы)"</t>
  </si>
  <si>
    <t>II. Государственная программа Архангельской области "Развитие образования и науки Архангельской области (2013 - 2018 годы)"</t>
  </si>
  <si>
    <t>III. Государственная программа Архангельской области "Культура Русского Севера (2013 - 2020 годы)"</t>
  </si>
  <si>
    <t>IV. Государственная программа Архангельской области "Охрана окружающей среды, воспроизводство и использование природных ресурсов Архангельской области (2014 - 2020 годы)"</t>
  </si>
  <si>
    <t>V. Государственная программа Архангельской области "Устойчивое развитие сельских территорий Архангельской области (2014 - 2017 годы)"</t>
  </si>
  <si>
    <t>VI. Государственная программа Архангельской области "Развитие здравоохранения Архангельской области (2013 - 2020 годы)"</t>
  </si>
  <si>
    <t>VII. Программа модернизации здравоохранения Архангельской области на 2011 - 2016 годы</t>
  </si>
  <si>
    <t>Всего объектов</t>
  </si>
  <si>
    <t>Переходящие с 2014 года</t>
  </si>
  <si>
    <t>Привлечение ФБ</t>
  </si>
  <si>
    <t>VIII. Государственная программа Архангельской области "Развитие транспортной системы Архангельской области (2014 - 2020 годы)"</t>
  </si>
  <si>
    <t>IX. Государственная программа Архангельской области "Развитие инфраструктуры Соловецкого архипелага (2014 - 2019 годы)"</t>
  </si>
  <si>
    <t>X. Государственная программа Архангельской области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(2014 - 2020 годы)"</t>
  </si>
  <si>
    <t>XI. Адресная программа Архангельской области "Переселение граждан из аварийного жилищного фонда" на 2013 - 2017 годы</t>
  </si>
  <si>
    <t>XII. Ведомственная целевая программа Архангельской области «Выполнение мероприятий по развитию социальной и инженерной инфраструктуры ЗАТО Мирный в рамках федеральной целевой программы «Развитие российских космодромов на 2006-2015 годы»</t>
  </si>
  <si>
    <t>Всего объектов в 2015 году</t>
  </si>
  <si>
    <t>ВСЕГО по проекту областной адресной инвестиционной программы на 2015 год и на плановый период 2016 и 2017 годов, в том числе:</t>
  </si>
  <si>
    <t>Перечень объектов</t>
  </si>
  <si>
    <t>1) Няндомский муниципальный район</t>
  </si>
  <si>
    <t>4) Каргопольский муниципальный район</t>
  </si>
  <si>
    <t>1) Насосная станция 3 подъема водопровода у Южной котельной г. Котласа</t>
  </si>
  <si>
    <t>3) 115-квартирный жилой дом в квартале «Ж» г. Новодвинска</t>
  </si>
  <si>
    <t>1. Строительство автогородков на территории Архангельской области</t>
  </si>
  <si>
    <t>2. Муниципальные дошкольные образовательные организации Архангельской области, в том числе:</t>
  </si>
  <si>
    <t>1) Строительство детского сада на 220 мест в с. Яренск Ленского района</t>
  </si>
  <si>
    <t>2) Строительство детского сада на 120 мест в г. Вельске</t>
  </si>
  <si>
    <t>3) Строительство детского сада на 220 мест по ул. Портовиков в г. Котласе</t>
  </si>
  <si>
    <t>4) Приобретение детского сада на 240 мест в п. Березник Виноградовского района</t>
  </si>
  <si>
    <t>5) Строительство детского сада на 280 мест в г. Новодвинске</t>
  </si>
  <si>
    <t>6) Строительство школы-сада в правобережной части г. Каргополя по ул. Чеснокова, 12б (100/100)</t>
  </si>
  <si>
    <t>3. Организации общего, основного общего и среднего общего образования Архангельской области</t>
  </si>
  <si>
    <t>1) Строительство художественного профессионального училища резьбы по кости № 27 в селе Ломоносово Холмогорского района Архангельской области (включая услуги по охране объекта)</t>
  </si>
  <si>
    <t>2) Строительство школы на 860 мест в пос. Урдома Ленского района</t>
  </si>
  <si>
    <t>3) Строительство детской школы искусств на 350 учащихся в г. Няндоме</t>
  </si>
  <si>
    <t>4) Строительство школы на 240 мест в п. Ерцево Коношского района</t>
  </si>
  <si>
    <t>1. Канализационные очистные сооружения на 700 куб. м в сутки и главный коллектор в г. Каргополе Архангельской области</t>
  </si>
  <si>
    <t>2. Реконструкция и восстановление причальных берегоукрепительных сооружений, служащих защитой г. Архангельска от паводка. Причалы N 101 - 109, г. Архангельск, Набережная Северной Двины, Красная Пристань</t>
  </si>
  <si>
    <t>1. Строительство школы на 132 места Горковской средней школы в дер. Согра Верхнетоемского района</t>
  </si>
  <si>
    <t>2. Строительство школы в д. Погост Вельского района</t>
  </si>
  <si>
    <t>2. Строительство  автомобильной дороги Архангельск (от дер. Рикасиха) - Онега на участке Тамица - Кянда (в том числе разработка проектной документации)</t>
  </si>
  <si>
    <t>6. Строительство автомобильной дороги Подъезд к дер. Боярская от автомобильной дороги Ломоносово - Ровдино</t>
  </si>
  <si>
    <t>7. Строительство автомобильной дороги Карпогоры - Веегора - Лешуконское на участке Чешегоры - Широкое</t>
  </si>
  <si>
    <t>8. Строительство мостового перехода через реку Мысовая на км 92 + 991 автомобильной дороги Карпогоры - Сосновка - Нюхча - граница с Республикой Коми</t>
  </si>
  <si>
    <t>1. Строительство и реконструкция системы водоснабжения поселка Соловецкий</t>
  </si>
  <si>
    <t>2. Строительство канализационных сетей и коллекторов, канализационных очистных сооружений поселка Соловецкий</t>
  </si>
  <si>
    <t>3. Строительство комплекса по переработке и размещению отходов производства и потребления в поселке Соловецкий</t>
  </si>
  <si>
    <t>4. Реконструкция причального комплекса "Тамарин" в поселке Соловецкий</t>
  </si>
  <si>
    <t>8. Проектирование и реконструкция высвобождаемого старого здания школы под размещение муниципального Дома культуры и областной музыкальной школы поселка Соловецкий</t>
  </si>
  <si>
    <t>9. Проектирование и реконструкция высвобождаемого старого здания детского сада под размещение администрации муниципального образования "Сельское поселение Соловецкое"</t>
  </si>
  <si>
    <t>1. Строительство стадиона МОУ ДОД ДЮСШ № 6 в г. Архангельске</t>
  </si>
  <si>
    <t>2. Строительство крытого катка с искусственным льдом ФОК "Звездочка" г.Северодвинск Архангельская область</t>
  </si>
  <si>
    <t>3. Строительство участка автодороги д. Кононовская - д. Малиновка длинной 2,215 км в Устьянском районе</t>
  </si>
  <si>
    <t>7. Строительство автомобильной дороги по проезду Сибиряковцев в обход областной больницы г. Архангельска (протяженностью 720 метров)</t>
  </si>
  <si>
    <t>1. 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</si>
  <si>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1. Реконструкция зданий жилищного фонда (устройство вентилируемых фасадов многоквартирных домов) в г. Мирный Архангельской области, в том числе по планируемым торгам</t>
  </si>
  <si>
    <t>2. Реконструкция городских автомобильных дорог (ул. Неделина, ул. Гагарина, ул. Ломоносова, ул. Мира, ул. Степанченко) в г. Мирный Архангельской области</t>
  </si>
  <si>
    <t>1. Перинатальный центр на 130 коек в                               г. Архангельске</t>
  </si>
  <si>
    <t xml:space="preserve">5) Строительство начальной школы - детский сад на 100 учащихся и 100 воспитанников в дер.Ваймуша Пинежского района </t>
  </si>
  <si>
    <t>Доведено финансирование министерством финансов Архангельской области до главного распорядителя средств областного бюджета</t>
  </si>
  <si>
    <t>тыс.рублей</t>
  </si>
  <si>
    <t>к уточненной сводной бюджетной росписи</t>
  </si>
  <si>
    <t>6. Разработка проектной документации на строительство мостового перехода через реку Устья на км 141 + 235 автомобильной дороги Шангалы - Квазеньга - Кизема</t>
  </si>
  <si>
    <t>1. Строительство мостового перехода через реку Олма на автомобильной дороге Архангельск – Белогорский - Пинега - Кимжа - Мезень</t>
  </si>
  <si>
    <t>2. Реконструкция автомобильной дороги Ильинск - Вилегодск, км 11- км 25</t>
  </si>
  <si>
    <t>3. Разработка проектной документации на строительство автомобильной дороги Котлас - Коряжма, км 0 - км 41</t>
  </si>
  <si>
    <t>4. Строительство  мостового перехода через реку Устья на автомобильной дороге Октябрьский – Мягкославская (Некрасово)  с подъездом к дер. Мягкославская (в том числе разработка проектной документации)</t>
  </si>
  <si>
    <t>5. Строительство мостового перехода через реку Устья на км 78 + 350 автомобильной дороги Вельск - Шангалы (в том числе разработка проектной документации)</t>
  </si>
  <si>
    <t>2) Напорный канализационный коллектор в г.Онеге</t>
  </si>
  <si>
    <t>3. Развитие некоммерческого жилищного фонда в Архангельской области, в том числе для граждан, имеющих невысокий уровень дохода, включая строительство или приобретение служебного жилья (включая услуги по охране объектов), а также создание условий для формирования рынка доступного арендного жилья:</t>
  </si>
  <si>
    <t>1) приобретение 6 жилых помещений в муниципалльном образовании "Лешуконский муниципальный район", с. Лешуконское</t>
  </si>
  <si>
    <t>2) приобретение 3-х жилых помещений в 12-ти квартирном жилом доме в п. Октябрьский Устьянского муниципального района</t>
  </si>
  <si>
    <t>3) приобретение 21 жилого помещения в муниципальном образовании "Котлас"</t>
  </si>
  <si>
    <t>6) завершение строительства школы в пос. Подюга Коношского района</t>
  </si>
  <si>
    <t>3. Укрепление правого берега р.Северная Двина в Соломбальском территориальном округе г.Архангельска на участке от ул.Маяковского до ул. Кедрова</t>
  </si>
  <si>
    <t>2. Проектирование, сбор исходно-разрешительной документации, корректировка, экспертиза и строительство областной больницы в 62-А квартале г. Архангельска</t>
  </si>
  <si>
    <t>3. Проектирование объекта "Лечебно-диагностический корпус государственного учреждения здравоохранения "Архангельская областная детская клиническая больница им. П.Г. Выжлецова"</t>
  </si>
  <si>
    <t>Заказчик: агентство по транспорту Архангельской области</t>
  </si>
  <si>
    <t>Заказчик: ГКУ АО "Дорожное агентство "Архангельскавтодор"</t>
  </si>
  <si>
    <t>3. Строительство объекта незавершенного строительства представительства администрации Архангельской области в поселке Соловецкий</t>
  </si>
  <si>
    <t>4. Строительство здания участковой больницы на 40 посещений и стационаром на 10 коек в поселке Соловецкий</t>
  </si>
  <si>
    <t>5. Проектирование и строительство несамоходного стоечного судна с административно-хозяйственными и жилыми помещениями</t>
  </si>
  <si>
    <t>6. Реконструкция здания Дома культуры поселка Соловецкий</t>
  </si>
  <si>
    <t>6. Реконструкция автомобильной дороги по пр. Обводный канал от ул. Шабалина до 1л. Смольный Буян в г. Архангельске</t>
  </si>
  <si>
    <t>XIII. Государственная программа Архангельской области "Защита населения и территорий Архангельской области от чрезвычайных ситуаций, обеспечение пожарной безопасности и безопасности на водных объектах (2014 - 2017 годы)"</t>
  </si>
  <si>
    <t>1. Корректировка проекта "Комплекс пожарного депо и базы ОГУ "Архангельская служба спасения" в жилом районе Майская горка г.Архангельска"</t>
  </si>
  <si>
    <t>2. Привязка типового проекта пожарного депо на 2 автомобиля в с. Тельвиска Ненецкого автономного округа</t>
  </si>
  <si>
    <t>Расходы на реализацию государственных программ Архангельской области за счет средств бюджетных кредитов, предоставленных из федерального бюджета, и (или) дотаций, предоставленных из федерапльного бюджета на поддержку мер по обеспечению сбалансированности бюджетов субъектов Российской Федерации</t>
  </si>
  <si>
    <t>ГП АО "Развитие образования и науки Архангельской области (2013 - 2018 годы)"</t>
  </si>
  <si>
    <t>1. Реконструкция здания детского дома под детский сад в г. Онега</t>
  </si>
  <si>
    <t>2. Строителство детского сада на 45 мест в дер. Васильевская Холмогорского района</t>
  </si>
  <si>
    <t>Государственная программа Архангельской области "Развитие здравоохранения Архангельской области (2013 - 2020 годы)"</t>
  </si>
  <si>
    <t>1.  Реконструкция объекта "Областной онкологический диспансер г. Архангельска" (в том числе приобретение оборудования)</t>
  </si>
  <si>
    <t>3) Приобретение на первичном рынке (строительство) жилых помещений для переселения граждан из жилого дома, расположенного по адресу: пос. Обозерский, ул. Северная, д. 37</t>
  </si>
  <si>
    <t>9) реконструкция водоочистных сооружений поселка Силикатного завода</t>
  </si>
  <si>
    <t>4. Берегоукрепление участка рукава Быстрокурки реки Северная Двина в с.Холмогоры Архангельской области</t>
  </si>
  <si>
    <t>3. Развитие сети (строительство и приобретение зданий) фельдшерско-акушерских пунктов и/или офисов врачей общей практики в сельской местности, в том числе: фельдшерско-акушерский пункт в пос. Самодед Плесецкого района</t>
  </si>
  <si>
    <t>4. Строительство плоскостного спортивного сооружения (мини-футбольного поля) в дер. Куимиха Котласского муниципального района</t>
  </si>
  <si>
    <t>4) обеспечение объеками инженерной инфраструктуры земельных участков, предоставляемых под строительство домов для расселения ветхого и аварийного жилья в г. Архангельске</t>
  </si>
  <si>
    <t>XIV. Государственная программа Архангельской области "Развитие энергетики, связи и жилищно-коммунального хозяйства Архангельской области (2014 - 2020 годы)"</t>
  </si>
  <si>
    <t>Реконструкция тепловых сетей котельной Ровдинского детского дома</t>
  </si>
  <si>
    <t>администрация МО "Онежский муниципальный район"</t>
  </si>
  <si>
    <t>министерство промышленности и строительства Архангельской области</t>
  </si>
  <si>
    <t>администрация МО "Холмогорский муниципальный район"</t>
  </si>
  <si>
    <t>государственное бюджетное учреждение Архангельской области "Главное управление капитального строительства"</t>
  </si>
  <si>
    <t>администрация муниципального образования "Няндомский муниципальный район"</t>
  </si>
  <si>
    <t>коммунальное хозяйство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</si>
  <si>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</si>
  <si>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"Котлас"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</si>
  <si>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</si>
  <si>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"Мезенский муниципальный район"</t>
  </si>
  <si>
    <t>администрация муниципального образования "Устьянский муниципальный район"</t>
  </si>
  <si>
    <t>администрация муниципального образования "Город Новодвинск"</t>
  </si>
  <si>
    <t>жилищное хозяйство</t>
  </si>
  <si>
    <t>администрация муниципального образования "Плесецкий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</si>
  <si>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</si>
  <si>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"Онежский муниципальный район"</t>
  </si>
  <si>
    <t>администрация муниципального образования "Пинежский муниципальный район"</t>
  </si>
  <si>
    <t>администрации муниципальных образований</t>
  </si>
  <si>
    <t>министерство образования и науки Архангельской области</t>
  </si>
  <si>
    <t>общее образование</t>
  </si>
  <si>
    <t>администрация муниципального образования "Ленский муниципальный район"</t>
  </si>
  <si>
    <t>дошкольное образование</t>
  </si>
  <si>
    <t>администрация муниципального образования "Вельский муниципальный район"</t>
  </si>
  <si>
    <t>администрация муниципального образования "Виноградовский муниципальный район"</t>
  </si>
  <si>
    <t>среднее профессиональное образование</t>
  </si>
  <si>
    <t>администрация муниципального образования "Коношский муниципальный район"</t>
  </si>
  <si>
    <t>культура</t>
  </si>
  <si>
    <t>водное хозяйство</t>
  </si>
  <si>
    <t>администрация муниципального образования "Верхнетоемский муниципальный район"</t>
  </si>
  <si>
    <t xml:space="preserve">администрация муниципального образования "Вельский муниципальный район" </t>
  </si>
  <si>
    <t>амбулаторная помощь</t>
  </si>
  <si>
    <t>администрация муниципального образования "Котласский муниципальный район"</t>
  </si>
  <si>
    <t>массовый спорт</t>
  </si>
  <si>
    <t>стационарная медицинская помощь</t>
  </si>
  <si>
    <t>государственная корпорация по содействию разработке, производству и экспорту высокотехнологичной промышленной продукции «Ростех»</t>
  </si>
  <si>
    <t>государтсвенное казенное учреждение Архангельской области "Дорожное агентство "Архангельскавтодор"</t>
  </si>
  <si>
    <t>агентство по транспорту Архангельской области</t>
  </si>
  <si>
    <t>дорожное хозяйство</t>
  </si>
  <si>
    <t>транспорт</t>
  </si>
  <si>
    <t>администрация муниципального образования "Приморский муниципальный район"</t>
  </si>
  <si>
    <t>агентство по развитию Соловецкого архипелага Архангельской области</t>
  </si>
  <si>
    <t>государственное бюджетное учреждение Архангельской области"Дирекция по развитию Соловецкого архипелага"</t>
  </si>
  <si>
    <t>другие общегосударственные вопросы</t>
  </si>
  <si>
    <t>другие вопросы в области жилищно-коммунального хозяйства</t>
  </si>
  <si>
    <t>администрация муниципального образования "Северодвинск"</t>
  </si>
  <si>
    <t>Администрации муниципальных образований</t>
  </si>
  <si>
    <t>министерство топливно-энергетического комплекса и жилищно-коммунального строительства Архангельской области</t>
  </si>
  <si>
    <t>администрация муниципального образования "Мирный"</t>
  </si>
  <si>
    <t>национальная безопасность</t>
  </si>
  <si>
    <t>Администрация муниципального образования "Шенкурский муниципальный район"</t>
  </si>
  <si>
    <t>министерство топливно-энергетического комплекса и жилищно-коммунального хозяйства Архангельской области</t>
  </si>
  <si>
    <t>Заказчик</t>
  </si>
  <si>
    <t>Главный распорядитель бюджетных средств</t>
  </si>
  <si>
    <t>Отрасль 
(сфера деятельности)</t>
  </si>
  <si>
    <t>1. Проектирование, корректировка проектной документации, проведение государственной экспертизы и завершение строительства объекта «Поликлиника на 375 посещений в смену в                      п. Плесецк Архангельской области»</t>
  </si>
  <si>
    <t>1. Пристройка сценическо-зрительного комплекса к основному зданию и реконструкция существующего здания Архангельского областного театра кукол по адресу: г.Архангельск,                                                       просп. Троицкий, д.5</t>
  </si>
  <si>
    <t>администрация муниципального образования "Лешуконский муниципальный район"</t>
  </si>
  <si>
    <t>администрация муниципальных образований</t>
  </si>
  <si>
    <t>4) проектирование 12-квартирного жилого дома с последующей привязкой в с. Карпогоры Пинежского района и пос. Березник Виноградовского района под служебное жилье</t>
  </si>
  <si>
    <t>7) приобретение здания детского сада на 220 мест в пос. Коноша, ул. Театральная, 19-а</t>
  </si>
  <si>
    <t>8) строительство детского комбината на 280 мест в 7 микрорайоне округа Майская горка г. Архангельска</t>
  </si>
  <si>
    <t>6. Строительство мостового перехода через реку Мысовая на км 92 + 991 автомобильной дороги Карпогоры - Сосновка - Нюхча - граница с Республикой Коми</t>
  </si>
  <si>
    <t>7. Строительство автомобильной дороги Архангельск (от по. Брин-Наволок)  - Каргополь - Вытегра (до с. Прокшино) на участке км 111 - км 122 (проект планировки территории и проект межевания)</t>
  </si>
  <si>
    <t>8. Реконструкция автомобильной дороги Архангельск (от по. Брин-Наволок)  - Каргополь - Вытегра (до с. Прокшино) на участке Сухое - Самодед (проект планировки территории и проект межевания)</t>
  </si>
  <si>
    <t>9. Строительство (приобретение) речных судов для осуществления грузопассажирских (пассажирских) перевозок на территории Архангельской области</t>
  </si>
  <si>
    <t>3. Спортивный центр с универсальным игровым залом и плавательным бассейном</t>
  </si>
  <si>
    <t>4. Строительство автомобильной дороги по проезду Сибиряковцев в обход областной больницы г. Архангельска (протяженностью 720 метров)</t>
  </si>
  <si>
    <t>5. Проектирование и строительство лыжно-спортивного комплекса "Малые Карелы" с сервисным центром на 24 команды (в том числе погашение кредиторской задолженности)</t>
  </si>
  <si>
    <t>Исполнение 9 месяцев, в процентах</t>
  </si>
  <si>
    <t>к плану на 9  месяцев</t>
  </si>
  <si>
    <t>Исполнено      на 01.10.2015</t>
  </si>
  <si>
    <t>План кассовых выплат на 9 месяцев          2015 года</t>
  </si>
  <si>
    <t>Уточненная сводная бюджетная роспись на 2015 год по состоянию на 30.09.2015</t>
  </si>
  <si>
    <t>Утверждено на 2015 год                                                                                                                                          (в ред.29.06.2015    № 305-83-ОЗ)</t>
  </si>
  <si>
    <t xml:space="preserve">ОТЧЕТ ОБ ИСПОЛНЕНИИ ОБЛАСТНОЙ АДРЕСНОЙ ИНВЕСТИЦИОННОЙ ПРОГРАММЫ ЗА 9 МЕСЯЦЕВ 2015 ГОДА </t>
  </si>
  <si>
    <t xml:space="preserve">2) Красноборский муниципальный район (Черевково) </t>
  </si>
  <si>
    <t>3) Город Котлас</t>
  </si>
  <si>
    <t>5) Мезенский муниципальный район, г. Мезень, ул. Вараксина</t>
  </si>
  <si>
    <t>6) Устьянский муниципальный район, муниципальное образование "Октябрьское, пос. Октябрьский", мкр. Сосенки-4, Кедровый-2</t>
  </si>
  <si>
    <t>5) обеспечение земельных участков инженерной инфраструктурой для строительства многоквартирных домов в VI - VII жилом районе (магистральные сети) (проектирование и строительство)</t>
  </si>
  <si>
    <t>6) обеспечение земельных участков инженерной инфраструктурой для строительства многоквартирных домов в VI жилом районе (внутриквартальные сети) (проектирование и строительство)</t>
  </si>
  <si>
    <t>7) обеспечение земельных участков инженерной инфраструктурой для строительства многоквартирных домов в VII жилом районе (внутриквартальные сети) (проектирование и строительство)</t>
  </si>
  <si>
    <t>8) обеспечение земельных участков дорожной инфраструктурой для строительства многоквартирных домов в VII жилом районе (ул. Стрелковая - ул. Карпогорская, длиной 1650 м) (проектирование и строительство)</t>
  </si>
  <si>
    <t>10) проектирование транспортных развязок в муниципальном образовании "Город Архангельск", в том числе выполнение работ по формированию технического задания на проектирование транспортных развязок</t>
  </si>
  <si>
    <t>11) реконструкция водопроводных очистных сооружений в пос. Сия Пинежского района Архангельской области</t>
  </si>
  <si>
    <t>12) Компенсация затрат федерального бюджета по обеспечению жильем для отдельных категорий граждан, установленных Федеральным законом  от 12 января 1995 года №5-ФЗ «О ветеранах», в соответствии с Указом Президента Российской Федерации от 07 мая 2008 года №714 «Об обеспечении жильем ветеранов Великой Отечественной войны 1941 – 1945 годов» за счет средств областного бюджета</t>
  </si>
  <si>
    <t>13) строительство инженерных сетей 157 квартала г. Каргополя</t>
  </si>
  <si>
    <t>14) приобретение (строительство) жилых помещений для граждан, лишившихся жилья в результате пожара в с. Лешуконское (6 квартир)</t>
  </si>
  <si>
    <t>15) строительство (приобретение) жилья для граждан, лишившихся жилых помещений в результате пожара</t>
  </si>
  <si>
    <t>Утверждено постановлением  Правительства        Архангельской    области  от 22.01.2015         № 13-пп                                                                                                                                         (в ред.21.07.2015)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</si>
</sst>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-* #,##0.0_р_._-;\-* #,##0.0_р_._-;_-* &quot;-&quot;?_р_._-;_-@_-"/>
    <numFmt numFmtId="165" formatCode="0.0"/>
    <numFmt numFmtId="166" formatCode="_-* #,##0.00_р_._-;\-* #,##0.00_р_._-;_-* &quot;-&quot;?_р_._-;_-@_-"/>
    <numFmt numFmtId="167" formatCode="_-* #,##0.000_р_._-;\-* #,##0.000_р_._-;_-* &quot;-&quot;?_р_._-;_-@_-"/>
    <numFmt numFmtId="168" formatCode="_-* #,##0.0_р_._-;\-* #,##0.0_р_._-;_-* &quot;-&quot;??_р_._-;_-@_-"/>
  </numFmts>
  <fonts count="19">
    <font>
      <sz val="11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ont="1" applyFill="1"/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/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 applyProtection="1">
      <alignment horizontal="left" vertical="top" wrapText="1"/>
      <protection locked="0"/>
    </xf>
    <xf numFmtId="164" fontId="9" fillId="2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top" wrapText="1"/>
    </xf>
    <xf numFmtId="164" fontId="16" fillId="2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11" fillId="2" borderId="1" xfId="0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right" vertical="center" wrapText="1"/>
    </xf>
    <xf numFmtId="165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top" wrapText="1"/>
    </xf>
    <xf numFmtId="164" fontId="7" fillId="3" borderId="1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0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center" indent="1"/>
    </xf>
    <xf numFmtId="165" fontId="9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165" fontId="11" fillId="2" borderId="1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right" vertical="center" indent="1"/>
    </xf>
    <xf numFmtId="0" fontId="8" fillId="3" borderId="2" xfId="0" applyNumberFormat="1" applyFont="1" applyFill="1" applyBorder="1" applyAlignment="1">
      <alignment horizontal="left" vertical="top" wrapText="1"/>
    </xf>
    <xf numFmtId="164" fontId="8" fillId="3" borderId="2" xfId="0" applyNumberFormat="1" applyFont="1" applyFill="1" applyBorder="1" applyAlignment="1">
      <alignment horizontal="right" vertical="center" wrapText="1"/>
    </xf>
    <xf numFmtId="165" fontId="8" fillId="3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 wrapText="1" indent="1"/>
    </xf>
    <xf numFmtId="164" fontId="9" fillId="2" borderId="1" xfId="0" applyNumberFormat="1" applyFont="1" applyFill="1" applyBorder="1" applyAlignment="1">
      <alignment horizontal="right" vertical="center" wrapText="1" indent="1"/>
    </xf>
    <xf numFmtId="164" fontId="9" fillId="2" borderId="1" xfId="0" applyNumberFormat="1" applyFont="1" applyFill="1" applyBorder="1" applyAlignment="1">
      <alignment horizontal="left" vertical="center" wrapText="1" indent="1"/>
    </xf>
    <xf numFmtId="164" fontId="8" fillId="3" borderId="1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 indent="1"/>
    </xf>
    <xf numFmtId="164" fontId="16" fillId="2" borderId="1" xfId="0" applyNumberFormat="1" applyFont="1" applyFill="1" applyBorder="1" applyAlignment="1">
      <alignment horizontal="right" vertical="center" indent="1"/>
    </xf>
    <xf numFmtId="165" fontId="1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left" vertical="top"/>
    </xf>
    <xf numFmtId="164" fontId="8" fillId="3" borderId="1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top" wrapText="1"/>
    </xf>
    <xf numFmtId="43" fontId="6" fillId="0" borderId="2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6" fontId="0" fillId="0" borderId="0" xfId="0" applyNumberFormat="1"/>
    <xf numFmtId="167" fontId="8" fillId="3" borderId="1" xfId="0" applyNumberFormat="1" applyFont="1" applyFill="1" applyBorder="1" applyAlignment="1">
      <alignment horizontal="right" vertical="center"/>
    </xf>
    <xf numFmtId="167" fontId="0" fillId="0" borderId="0" xfId="0" applyNumberFormat="1"/>
    <xf numFmtId="164" fontId="9" fillId="2" borderId="1" xfId="0" applyNumberFormat="1" applyFont="1" applyFill="1" applyBorder="1" applyAlignment="1" applyProtection="1">
      <alignment horizontal="left" vertical="center" wrapText="1" indent="1"/>
      <protection locked="0"/>
    </xf>
    <xf numFmtId="164" fontId="10" fillId="2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right" vertical="center" indent="1"/>
    </xf>
    <xf numFmtId="165" fontId="6" fillId="2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164" fontId="11" fillId="2" borderId="2" xfId="0" applyNumberFormat="1" applyFont="1" applyFill="1" applyBorder="1" applyAlignment="1">
      <alignment horizontal="right" vertical="center" indent="1"/>
    </xf>
    <xf numFmtId="164" fontId="9" fillId="2" borderId="2" xfId="0" applyNumberFormat="1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left" vertical="center" indent="1"/>
    </xf>
    <xf numFmtId="168" fontId="17" fillId="2" borderId="1" xfId="1" applyNumberFormat="1" applyFont="1" applyFill="1" applyBorder="1" applyAlignment="1">
      <alignment vertical="center"/>
    </xf>
    <xf numFmtId="167" fontId="9" fillId="2" borderId="1" xfId="0" applyNumberFormat="1" applyFont="1" applyFill="1" applyBorder="1" applyAlignment="1">
      <alignment horizontal="right" vertical="center" wrapText="1" indent="1"/>
    </xf>
    <xf numFmtId="0" fontId="8" fillId="2" borderId="5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wrapText="1"/>
    </xf>
    <xf numFmtId="0" fontId="17" fillId="2" borderId="7" xfId="0" applyFont="1" applyFill="1" applyBorder="1" applyAlignment="1">
      <alignment wrapText="1"/>
    </xf>
    <xf numFmtId="0" fontId="17" fillId="2" borderId="6" xfId="0" applyFont="1" applyFill="1" applyBorder="1" applyAlignment="1">
      <alignment wrapText="1"/>
    </xf>
    <xf numFmtId="43" fontId="6" fillId="0" borderId="5" xfId="1" applyFont="1" applyFill="1" applyBorder="1" applyAlignment="1">
      <alignment horizontal="center" vertical="center" wrapText="1"/>
    </xf>
    <xf numFmtId="43" fontId="6" fillId="0" borderId="6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43" fontId="6" fillId="0" borderId="3" xfId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27"/>
  <sheetViews>
    <sheetView showGridLines="0" tabSelected="1" view="pageBreakPreview" topLeftCell="F27" zoomScale="75" zoomScaleNormal="42" zoomScaleSheetLayoutView="75" workbookViewId="0">
      <selection activeCell="M28" sqref="M28"/>
    </sheetView>
  </sheetViews>
  <sheetFormatPr defaultRowHeight="15" outlineLevelCol="1"/>
  <cols>
    <col min="1" max="5" width="9.140625" style="6" hidden="1" customWidth="1" outlineLevel="1"/>
    <col min="6" max="6" width="62.28515625" style="13" customWidth="1" collapsed="1"/>
    <col min="7" max="7" width="27.7109375" style="13" customWidth="1"/>
    <col min="8" max="8" width="24.85546875" style="13" customWidth="1"/>
    <col min="9" max="10" width="20" style="13" customWidth="1"/>
    <col min="11" max="11" width="19.28515625" style="5" customWidth="1" outlineLevel="1"/>
    <col min="12" max="12" width="19.85546875" style="5" customWidth="1"/>
    <col min="13" max="13" width="19.28515625" style="5" customWidth="1"/>
    <col min="14" max="14" width="19.7109375" customWidth="1"/>
    <col min="15" max="15" width="18.42578125" customWidth="1"/>
    <col min="16" max="16" width="15.28515625" customWidth="1"/>
    <col min="17" max="17" width="14.5703125" customWidth="1"/>
    <col min="19" max="19" width="15" bestFit="1" customWidth="1"/>
  </cols>
  <sheetData>
    <row r="1" spans="1:27" ht="67.5" customHeight="1">
      <c r="C1" s="7"/>
      <c r="D1" s="7"/>
      <c r="E1" s="7"/>
      <c r="F1" s="90" t="s">
        <v>177</v>
      </c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5" customFormat="1" ht="37.15" customHeight="1">
      <c r="A2" s="6"/>
      <c r="B2" s="6"/>
      <c r="C2" s="7"/>
      <c r="D2" s="7"/>
      <c r="E2" s="7"/>
      <c r="F2" s="101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5" customFormat="1" ht="36.6" customHeight="1">
      <c r="A3" s="6"/>
      <c r="B3" s="6"/>
      <c r="C3" s="7"/>
      <c r="D3" s="7"/>
      <c r="E3" s="7"/>
      <c r="F3" s="23"/>
      <c r="G3" s="35"/>
      <c r="H3" s="35"/>
      <c r="I3" s="35"/>
      <c r="J3" s="65"/>
      <c r="K3" s="24"/>
      <c r="L3" s="24"/>
      <c r="M3" s="24"/>
      <c r="N3" s="23"/>
      <c r="O3" s="24"/>
      <c r="P3" s="91" t="s">
        <v>62</v>
      </c>
      <c r="Q3" s="91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ht="36.75" customHeight="1">
      <c r="A4" s="102" t="s">
        <v>10</v>
      </c>
      <c r="B4" s="102" t="s">
        <v>18</v>
      </c>
      <c r="C4" s="103" t="s">
        <v>11</v>
      </c>
      <c r="D4" s="103" t="s">
        <v>1</v>
      </c>
      <c r="E4" s="103" t="s">
        <v>12</v>
      </c>
      <c r="F4" s="96" t="s">
        <v>20</v>
      </c>
      <c r="G4" s="99" t="s">
        <v>154</v>
      </c>
      <c r="H4" s="99" t="s">
        <v>155</v>
      </c>
      <c r="I4" s="99" t="s">
        <v>156</v>
      </c>
      <c r="J4" s="97" t="s">
        <v>192</v>
      </c>
      <c r="K4" s="97" t="s">
        <v>176</v>
      </c>
      <c r="L4" s="92" t="s">
        <v>175</v>
      </c>
      <c r="M4" s="92" t="s">
        <v>174</v>
      </c>
      <c r="N4" s="94" t="s">
        <v>61</v>
      </c>
      <c r="O4" s="92" t="s">
        <v>173</v>
      </c>
      <c r="P4" s="88" t="s">
        <v>171</v>
      </c>
      <c r="Q4" s="89"/>
    </row>
    <row r="5" spans="1:27" s="3" customFormat="1" ht="141.6" customHeight="1">
      <c r="A5" s="102"/>
      <c r="B5" s="102"/>
      <c r="C5" s="104"/>
      <c r="D5" s="104"/>
      <c r="E5" s="104"/>
      <c r="F5" s="96"/>
      <c r="G5" s="100"/>
      <c r="H5" s="100"/>
      <c r="I5" s="100"/>
      <c r="J5" s="98"/>
      <c r="K5" s="98"/>
      <c r="L5" s="93"/>
      <c r="M5" s="93"/>
      <c r="N5" s="95"/>
      <c r="O5" s="93"/>
      <c r="P5" s="25" t="s">
        <v>63</v>
      </c>
      <c r="Q5" s="64" t="s">
        <v>172</v>
      </c>
    </row>
    <row r="6" spans="1:27" s="3" customFormat="1" ht="19.149999999999999" customHeight="1">
      <c r="A6" s="14"/>
      <c r="B6" s="14"/>
      <c r="C6" s="15"/>
      <c r="D6" s="15"/>
      <c r="E6" s="15"/>
      <c r="F6" s="16">
        <v>1</v>
      </c>
      <c r="G6" s="36">
        <v>2</v>
      </c>
      <c r="H6" s="36">
        <v>3</v>
      </c>
      <c r="I6" s="36">
        <v>4</v>
      </c>
      <c r="J6" s="36">
        <v>5</v>
      </c>
      <c r="K6" s="20">
        <v>6</v>
      </c>
      <c r="L6" s="21">
        <v>7</v>
      </c>
      <c r="M6" s="21">
        <v>8</v>
      </c>
      <c r="N6" s="22">
        <v>9</v>
      </c>
      <c r="O6" s="22">
        <v>10</v>
      </c>
      <c r="P6" s="22">
        <v>11</v>
      </c>
      <c r="Q6" s="22">
        <v>12</v>
      </c>
    </row>
    <row r="7" spans="1:27" ht="81" customHeight="1">
      <c r="A7" s="8">
        <f>SUM(A8:A116)</f>
        <v>55</v>
      </c>
      <c r="B7" s="8">
        <f>SUM(B8:B116)</f>
        <v>48</v>
      </c>
      <c r="C7" s="8">
        <f>SUM(C8:C116)</f>
        <v>28</v>
      </c>
      <c r="D7" s="8">
        <f>SUM(D8:D116)</f>
        <v>23</v>
      </c>
      <c r="E7" s="8">
        <f>SUM(E8:E116)</f>
        <v>21</v>
      </c>
      <c r="F7" s="29" t="s">
        <v>19</v>
      </c>
      <c r="G7" s="29"/>
      <c r="H7" s="29"/>
      <c r="I7" s="29"/>
      <c r="J7" s="30">
        <f t="shared" ref="J7" si="0">J39+J64+J114+J103+J92+J57+J73+J69+J59+J8+J112+J75+J117+J123+J126+J120</f>
        <v>2181191.9749599998</v>
      </c>
      <c r="K7" s="30">
        <f t="shared" ref="K7:O7" si="1">K39+K64+K114+K103+K92+K57+K73+K69+K59+K8+K112+K75+K117+K123+K126+K120</f>
        <v>2181191.9749599998</v>
      </c>
      <c r="L7" s="30">
        <f t="shared" si="1"/>
        <v>2181191.9749599998</v>
      </c>
      <c r="M7" s="30">
        <f t="shared" si="1"/>
        <v>1170901.05327</v>
      </c>
      <c r="N7" s="30">
        <f t="shared" si="1"/>
        <v>1170901.05327</v>
      </c>
      <c r="O7" s="30">
        <f t="shared" si="1"/>
        <v>1142447.7610200003</v>
      </c>
      <c r="P7" s="31">
        <f>O7/L7*100</f>
        <v>52.377221910554262</v>
      </c>
      <c r="Q7" s="31">
        <f>O7/M7*100</f>
        <v>97.569966123906241</v>
      </c>
    </row>
    <row r="8" spans="1:27" s="1" customFormat="1" ht="105.75" customHeight="1">
      <c r="A8" s="12"/>
      <c r="B8" s="8"/>
      <c r="C8" s="8"/>
      <c r="D8" s="8"/>
      <c r="E8" s="8"/>
      <c r="F8" s="32" t="s">
        <v>3</v>
      </c>
      <c r="G8" s="32"/>
      <c r="H8" s="32"/>
      <c r="I8" s="32"/>
      <c r="J8" s="33">
        <f t="shared" ref="J8" si="2">J9+J17+J34</f>
        <v>141800.91574</v>
      </c>
      <c r="K8" s="33">
        <f t="shared" ref="K8:O8" si="3">K9+K17+K34</f>
        <v>141800.91574</v>
      </c>
      <c r="L8" s="33">
        <f t="shared" si="3"/>
        <v>141800.91574</v>
      </c>
      <c r="M8" s="33">
        <f t="shared" si="3"/>
        <v>54507.52867</v>
      </c>
      <c r="N8" s="33">
        <f t="shared" si="3"/>
        <v>54507.52867</v>
      </c>
      <c r="O8" s="33">
        <f t="shared" si="3"/>
        <v>53481.724240000003</v>
      </c>
      <c r="P8" s="31">
        <f t="shared" ref="P8:P98" si="4">O8/L8*100</f>
        <v>37.716064075398336</v>
      </c>
      <c r="Q8" s="31">
        <f t="shared" ref="Q8:Q96" si="5">O8/M8*100</f>
        <v>98.118050010650023</v>
      </c>
    </row>
    <row r="9" spans="1:27" ht="174" customHeight="1">
      <c r="A9" s="11"/>
      <c r="B9" s="8"/>
      <c r="C9" s="8"/>
      <c r="D9" s="8"/>
      <c r="E9" s="8"/>
      <c r="F9" s="28" t="s">
        <v>2</v>
      </c>
      <c r="G9" s="28"/>
      <c r="H9" s="28"/>
      <c r="I9" s="28"/>
      <c r="J9" s="70">
        <f t="shared" ref="J9" si="6">SUM(J10:J16)</f>
        <v>20683.092739999996</v>
      </c>
      <c r="K9" s="70">
        <f t="shared" ref="K9" si="7">SUM(K10:K16)</f>
        <v>20683.092739999996</v>
      </c>
      <c r="L9" s="70">
        <f t="shared" ref="L9:O9" si="8">SUM(L10:L16)</f>
        <v>20683.092739999996</v>
      </c>
      <c r="M9" s="70">
        <f t="shared" si="8"/>
        <v>13683.09274</v>
      </c>
      <c r="N9" s="70">
        <f t="shared" si="8"/>
        <v>13683.09274</v>
      </c>
      <c r="O9" s="70">
        <f t="shared" si="8"/>
        <v>13683.09274</v>
      </c>
      <c r="P9" s="71">
        <f t="shared" si="4"/>
        <v>66.155931861861404</v>
      </c>
      <c r="Q9" s="71">
        <f t="shared" si="5"/>
        <v>100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11" customHeight="1">
      <c r="A10" s="8">
        <v>1</v>
      </c>
      <c r="B10" s="8">
        <v>1</v>
      </c>
      <c r="C10" s="8"/>
      <c r="D10" s="8">
        <v>1</v>
      </c>
      <c r="E10" s="8"/>
      <c r="F10" s="17" t="s">
        <v>21</v>
      </c>
      <c r="G10" s="17" t="s">
        <v>107</v>
      </c>
      <c r="H10" s="17" t="s">
        <v>104</v>
      </c>
      <c r="I10" s="17" t="s">
        <v>108</v>
      </c>
      <c r="J10" s="72"/>
      <c r="K10" s="72"/>
      <c r="L10" s="72">
        <v>0</v>
      </c>
      <c r="M10" s="72"/>
      <c r="N10" s="72"/>
      <c r="O10" s="72"/>
      <c r="P10" s="73"/>
      <c r="Q10" s="73"/>
      <c r="S10" s="66"/>
    </row>
    <row r="11" spans="1:27" ht="115.15" customHeight="1">
      <c r="A11" s="8">
        <v>1</v>
      </c>
      <c r="B11" s="8">
        <v>1</v>
      </c>
      <c r="C11" s="8"/>
      <c r="D11" s="8">
        <v>1</v>
      </c>
      <c r="E11" s="8"/>
      <c r="F11" s="17" t="s">
        <v>178</v>
      </c>
      <c r="G11" s="17" t="s">
        <v>109</v>
      </c>
      <c r="H11" s="17" t="s">
        <v>104</v>
      </c>
      <c r="I11" s="17" t="s">
        <v>108</v>
      </c>
      <c r="J11" s="39">
        <v>3882.3927399999998</v>
      </c>
      <c r="K11" s="39">
        <v>3882.3927399999998</v>
      </c>
      <c r="L11" s="39">
        <v>3882.3927399999998</v>
      </c>
      <c r="M11" s="39">
        <v>3882.3927399999998</v>
      </c>
      <c r="N11" s="39">
        <v>3882.3927399999998</v>
      </c>
      <c r="O11" s="39">
        <v>3882.3927399999998</v>
      </c>
      <c r="P11" s="40">
        <f t="shared" si="4"/>
        <v>100</v>
      </c>
      <c r="Q11" s="40">
        <f t="shared" si="5"/>
        <v>100</v>
      </c>
    </row>
    <row r="12" spans="1:27" ht="95.45" customHeight="1">
      <c r="A12" s="8">
        <v>1</v>
      </c>
      <c r="B12" s="8">
        <v>1</v>
      </c>
      <c r="C12" s="8"/>
      <c r="D12" s="8"/>
      <c r="E12" s="8"/>
      <c r="F12" s="17" t="s">
        <v>179</v>
      </c>
      <c r="G12" s="17" t="s">
        <v>110</v>
      </c>
      <c r="H12" s="17" t="s">
        <v>104</v>
      </c>
      <c r="I12" s="17" t="s">
        <v>108</v>
      </c>
      <c r="J12" s="39">
        <v>14000</v>
      </c>
      <c r="K12" s="39">
        <v>14000</v>
      </c>
      <c r="L12" s="39">
        <v>14000</v>
      </c>
      <c r="M12" s="39">
        <f>1500+3000+2500</f>
        <v>7000</v>
      </c>
      <c r="N12" s="39">
        <f>1500+3000+2500</f>
        <v>7000</v>
      </c>
      <c r="O12" s="39">
        <f>1500+3000+2500</f>
        <v>7000</v>
      </c>
      <c r="P12" s="40">
        <f t="shared" si="4"/>
        <v>50</v>
      </c>
      <c r="Q12" s="40">
        <f t="shared" si="5"/>
        <v>100</v>
      </c>
    </row>
    <row r="13" spans="1:27" s="1" customFormat="1" ht="117" hidden="1" customHeight="1">
      <c r="A13" s="8">
        <v>1</v>
      </c>
      <c r="B13" s="8">
        <v>1</v>
      </c>
      <c r="C13" s="8"/>
      <c r="D13" s="8">
        <v>1</v>
      </c>
      <c r="E13" s="8"/>
      <c r="F13" s="17" t="s">
        <v>22</v>
      </c>
      <c r="G13" s="17" t="s">
        <v>111</v>
      </c>
      <c r="H13" s="17" t="s">
        <v>104</v>
      </c>
      <c r="I13" s="17" t="s">
        <v>108</v>
      </c>
      <c r="J13" s="39"/>
      <c r="K13" s="39"/>
      <c r="L13" s="39"/>
      <c r="M13" s="39"/>
      <c r="N13" s="39"/>
      <c r="O13" s="39"/>
      <c r="P13" s="40" t="e">
        <f t="shared" si="4"/>
        <v>#DIV/0!</v>
      </c>
      <c r="Q13" s="40" t="e">
        <f t="shared" si="5"/>
        <v>#DIV/0!</v>
      </c>
      <c r="R13"/>
      <c r="S13"/>
      <c r="T13"/>
      <c r="U13"/>
      <c r="V13"/>
      <c r="W13"/>
      <c r="X13"/>
      <c r="Y13"/>
      <c r="Z13"/>
      <c r="AA13"/>
    </row>
    <row r="14" spans="1:27" s="1" customFormat="1" ht="117" customHeight="1">
      <c r="A14" s="8"/>
      <c r="B14" s="8"/>
      <c r="C14" s="8"/>
      <c r="D14" s="8"/>
      <c r="E14" s="8"/>
      <c r="F14" s="17" t="s">
        <v>22</v>
      </c>
      <c r="G14" s="17" t="s">
        <v>111</v>
      </c>
      <c r="H14" s="17" t="s">
        <v>104</v>
      </c>
      <c r="I14" s="17" t="s">
        <v>108</v>
      </c>
      <c r="J14" s="39"/>
      <c r="K14" s="39"/>
      <c r="L14" s="39"/>
      <c r="M14" s="39"/>
      <c r="N14" s="39"/>
      <c r="O14" s="39"/>
      <c r="P14" s="40"/>
      <c r="Q14" s="40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s="1" customFormat="1" ht="114.6" customHeight="1">
      <c r="A15" s="8"/>
      <c r="B15" s="8"/>
      <c r="C15" s="8"/>
      <c r="D15" s="8"/>
      <c r="E15" s="8"/>
      <c r="F15" s="17" t="s">
        <v>180</v>
      </c>
      <c r="G15" s="17" t="s">
        <v>112</v>
      </c>
      <c r="H15" s="17" t="s">
        <v>104</v>
      </c>
      <c r="I15" s="17" t="s">
        <v>108</v>
      </c>
      <c r="J15" s="39">
        <v>137.1</v>
      </c>
      <c r="K15" s="39">
        <v>137.1</v>
      </c>
      <c r="L15" s="39">
        <v>137.1</v>
      </c>
      <c r="M15" s="39">
        <v>137.1</v>
      </c>
      <c r="N15" s="39">
        <v>137.1</v>
      </c>
      <c r="O15" s="39">
        <v>137.1</v>
      </c>
      <c r="P15" s="40">
        <f t="shared" ref="P15:P16" si="9">O15/L15*100</f>
        <v>100</v>
      </c>
      <c r="Q15" s="40">
        <f t="shared" ref="Q15:Q16" si="10">O15/M15*100</f>
        <v>100</v>
      </c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s="1" customFormat="1" ht="112.5">
      <c r="A16" s="8"/>
      <c r="B16" s="8"/>
      <c r="C16" s="8"/>
      <c r="D16" s="8"/>
      <c r="E16" s="8"/>
      <c r="F16" s="17" t="s">
        <v>181</v>
      </c>
      <c r="G16" s="17" t="s">
        <v>113</v>
      </c>
      <c r="H16" s="17" t="s">
        <v>104</v>
      </c>
      <c r="I16" s="17" t="s">
        <v>108</v>
      </c>
      <c r="J16" s="39">
        <v>2663.6</v>
      </c>
      <c r="K16" s="39">
        <v>2663.6</v>
      </c>
      <c r="L16" s="39">
        <v>2663.6</v>
      </c>
      <c r="M16" s="39">
        <v>2663.6</v>
      </c>
      <c r="N16" s="39">
        <v>2663.6</v>
      </c>
      <c r="O16" s="39">
        <v>2663.6</v>
      </c>
      <c r="P16" s="40">
        <f t="shared" si="9"/>
        <v>100</v>
      </c>
      <c r="Q16" s="40">
        <f t="shared" si="10"/>
        <v>100</v>
      </c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93" customHeight="1">
      <c r="A17" s="8"/>
      <c r="B17" s="8"/>
      <c r="C17" s="8"/>
      <c r="D17" s="8"/>
      <c r="E17" s="8"/>
      <c r="F17" s="28" t="s">
        <v>0</v>
      </c>
      <c r="G17" s="28"/>
      <c r="H17" s="28"/>
      <c r="I17" s="28"/>
      <c r="J17" s="41">
        <f>SUM(J18:J33)</f>
        <v>105459.12300000001</v>
      </c>
      <c r="K17" s="41">
        <f>SUM(K18:K33)</f>
        <v>105459.12300000001</v>
      </c>
      <c r="L17" s="41">
        <f t="shared" ref="L17:O17" si="11">SUM(L18:L33)</f>
        <v>105459.12300000001</v>
      </c>
      <c r="M17" s="41">
        <f t="shared" si="11"/>
        <v>29257.085930000001</v>
      </c>
      <c r="N17" s="41">
        <f t="shared" si="11"/>
        <v>29257.085930000001</v>
      </c>
      <c r="O17" s="41">
        <f t="shared" si="11"/>
        <v>28231.281500000001</v>
      </c>
      <c r="P17" s="42">
        <f t="shared" si="4"/>
        <v>26.769880781200882</v>
      </c>
      <c r="Q17" s="42">
        <f t="shared" si="5"/>
        <v>96.493825692502938</v>
      </c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05" customHeight="1">
      <c r="A18" s="8">
        <v>1</v>
      </c>
      <c r="B18" s="8">
        <v>1</v>
      </c>
      <c r="C18" s="8">
        <v>1</v>
      </c>
      <c r="D18" s="8">
        <v>1</v>
      </c>
      <c r="E18" s="8">
        <v>1</v>
      </c>
      <c r="F18" s="17" t="s">
        <v>23</v>
      </c>
      <c r="G18" s="17" t="s">
        <v>110</v>
      </c>
      <c r="H18" s="17" t="s">
        <v>104</v>
      </c>
      <c r="I18" s="17" t="s">
        <v>108</v>
      </c>
      <c r="J18" s="39">
        <v>3324.5</v>
      </c>
      <c r="K18" s="39">
        <v>3324.5</v>
      </c>
      <c r="L18" s="39">
        <v>3324.5</v>
      </c>
      <c r="M18" s="39">
        <f>3240+84.5</f>
        <v>3324.5</v>
      </c>
      <c r="N18" s="39">
        <f>3240+84.5</f>
        <v>3324.5</v>
      </c>
      <c r="O18" s="39">
        <f>3240+84.5</f>
        <v>3324.5</v>
      </c>
      <c r="P18" s="40">
        <f t="shared" si="4"/>
        <v>100</v>
      </c>
      <c r="Q18" s="40">
        <f t="shared" si="5"/>
        <v>100</v>
      </c>
    </row>
    <row r="19" spans="1:27" ht="120" customHeight="1">
      <c r="A19" s="8">
        <v>1</v>
      </c>
      <c r="B19" s="8">
        <v>1</v>
      </c>
      <c r="C19" s="8"/>
      <c r="D19" s="8"/>
      <c r="E19" s="8"/>
      <c r="F19" s="17" t="s">
        <v>70</v>
      </c>
      <c r="G19" s="17" t="s">
        <v>118</v>
      </c>
      <c r="H19" s="17" t="s">
        <v>104</v>
      </c>
      <c r="I19" s="17" t="s">
        <v>108</v>
      </c>
      <c r="J19" s="39">
        <v>3500.7</v>
      </c>
      <c r="K19" s="39">
        <v>3500.7</v>
      </c>
      <c r="L19" s="39">
        <v>3500.7</v>
      </c>
      <c r="M19" s="39">
        <f>200.7+1500.009</f>
        <v>1700.7090000000001</v>
      </c>
      <c r="N19" s="39">
        <f>200.7+1500.009</f>
        <v>1700.7090000000001</v>
      </c>
      <c r="O19" s="39">
        <f>200.7+1500.009</f>
        <v>1700.7090000000001</v>
      </c>
      <c r="P19" s="40">
        <f t="shared" si="4"/>
        <v>48.581969320421635</v>
      </c>
      <c r="Q19" s="40">
        <f t="shared" si="5"/>
        <v>100</v>
      </c>
    </row>
    <row r="20" spans="1:27" ht="41.45" hidden="1" customHeight="1">
      <c r="A20" s="8">
        <v>1</v>
      </c>
      <c r="B20" s="8">
        <v>1</v>
      </c>
      <c r="C20" s="8">
        <v>1</v>
      </c>
      <c r="D20" s="8">
        <v>1</v>
      </c>
      <c r="E20" s="8"/>
      <c r="F20" s="17" t="s">
        <v>24</v>
      </c>
      <c r="G20" s="17" t="s">
        <v>116</v>
      </c>
      <c r="H20" s="17" t="s">
        <v>104</v>
      </c>
      <c r="I20" s="17" t="s">
        <v>115</v>
      </c>
      <c r="J20" s="39"/>
      <c r="K20" s="39"/>
      <c r="L20" s="39"/>
      <c r="M20" s="39"/>
      <c r="N20" s="39"/>
      <c r="O20" s="39"/>
      <c r="P20" s="40"/>
      <c r="Q20" s="40"/>
    </row>
    <row r="21" spans="1:27" ht="123" customHeight="1">
      <c r="A21" s="8">
        <v>1</v>
      </c>
      <c r="B21" s="8">
        <v>1</v>
      </c>
      <c r="C21" s="8">
        <v>1</v>
      </c>
      <c r="D21" s="8">
        <v>1</v>
      </c>
      <c r="E21" s="8"/>
      <c r="F21" s="17" t="s">
        <v>95</v>
      </c>
      <c r="G21" s="17" t="s">
        <v>116</v>
      </c>
      <c r="H21" s="17" t="s">
        <v>104</v>
      </c>
      <c r="I21" s="17" t="s">
        <v>115</v>
      </c>
      <c r="J21" s="39">
        <v>4210.6230000000005</v>
      </c>
      <c r="K21" s="39">
        <v>4210.6230000000005</v>
      </c>
      <c r="L21" s="39">
        <v>4210.6230000000005</v>
      </c>
      <c r="M21" s="39">
        <f>1845.6+0.0255</f>
        <v>1845.6254999999999</v>
      </c>
      <c r="N21" s="39">
        <f t="shared" ref="N21:O21" si="12">1845.6+0.0255</f>
        <v>1845.6254999999999</v>
      </c>
      <c r="O21" s="39">
        <f t="shared" si="12"/>
        <v>1845.6254999999999</v>
      </c>
      <c r="P21" s="40">
        <f t="shared" si="4"/>
        <v>43.832599118942724</v>
      </c>
      <c r="Q21" s="40">
        <f t="shared" si="5"/>
        <v>100</v>
      </c>
    </row>
    <row r="22" spans="1:27" s="5" customFormat="1" ht="131.44999999999999" customHeight="1">
      <c r="A22" s="8"/>
      <c r="B22" s="8"/>
      <c r="C22" s="8"/>
      <c r="D22" s="8"/>
      <c r="E22" s="8"/>
      <c r="F22" s="17" t="s">
        <v>100</v>
      </c>
      <c r="G22" s="17" t="s">
        <v>117</v>
      </c>
      <c r="H22" s="17" t="s">
        <v>104</v>
      </c>
      <c r="I22" s="17" t="s">
        <v>108</v>
      </c>
      <c r="J22" s="39"/>
      <c r="K22" s="39"/>
      <c r="L22" s="39"/>
      <c r="M22" s="39"/>
      <c r="N22" s="39"/>
      <c r="O22" s="39"/>
      <c r="P22" s="40">
        <v>0</v>
      </c>
      <c r="Q22" s="40">
        <v>0</v>
      </c>
    </row>
    <row r="23" spans="1:27" s="5" customFormat="1" ht="157.9" customHeight="1">
      <c r="A23" s="8"/>
      <c r="B23" s="8"/>
      <c r="C23" s="8"/>
      <c r="D23" s="8"/>
      <c r="E23" s="8"/>
      <c r="F23" s="17" t="s">
        <v>182</v>
      </c>
      <c r="G23" s="17" t="s">
        <v>106</v>
      </c>
      <c r="H23" s="17" t="s">
        <v>104</v>
      </c>
      <c r="I23" s="17" t="s">
        <v>108</v>
      </c>
      <c r="J23" s="39">
        <v>10000</v>
      </c>
      <c r="K23" s="39">
        <v>10000</v>
      </c>
      <c r="L23" s="39">
        <v>10000</v>
      </c>
      <c r="M23" s="39"/>
      <c r="N23" s="39"/>
      <c r="O23" s="39"/>
      <c r="P23" s="40">
        <f t="shared" si="4"/>
        <v>0</v>
      </c>
      <c r="Q23" s="40">
        <v>0</v>
      </c>
    </row>
    <row r="24" spans="1:27" s="5" customFormat="1" ht="157.9" customHeight="1">
      <c r="A24" s="8"/>
      <c r="B24" s="8"/>
      <c r="C24" s="8"/>
      <c r="D24" s="8"/>
      <c r="E24" s="8"/>
      <c r="F24" s="17" t="s">
        <v>183</v>
      </c>
      <c r="G24" s="17" t="s">
        <v>106</v>
      </c>
      <c r="H24" s="17" t="s">
        <v>104</v>
      </c>
      <c r="I24" s="17" t="s">
        <v>108</v>
      </c>
      <c r="J24" s="39">
        <v>10000</v>
      </c>
      <c r="K24" s="39">
        <v>10000</v>
      </c>
      <c r="L24" s="39">
        <v>10000</v>
      </c>
      <c r="M24" s="39"/>
      <c r="N24" s="39"/>
      <c r="O24" s="39"/>
      <c r="P24" s="40">
        <f t="shared" si="4"/>
        <v>0</v>
      </c>
      <c r="Q24" s="40">
        <v>0</v>
      </c>
    </row>
    <row r="25" spans="1:27" s="5" customFormat="1" ht="154.9" customHeight="1">
      <c r="A25" s="8"/>
      <c r="B25" s="8"/>
      <c r="C25" s="8"/>
      <c r="D25" s="8"/>
      <c r="E25" s="8"/>
      <c r="F25" s="17" t="s">
        <v>184</v>
      </c>
      <c r="G25" s="17" t="s">
        <v>106</v>
      </c>
      <c r="H25" s="17" t="s">
        <v>104</v>
      </c>
      <c r="I25" s="17" t="s">
        <v>108</v>
      </c>
      <c r="J25" s="39">
        <v>5000</v>
      </c>
      <c r="K25" s="39">
        <v>5000</v>
      </c>
      <c r="L25" s="39">
        <v>5000</v>
      </c>
      <c r="M25" s="39"/>
      <c r="N25" s="39"/>
      <c r="O25" s="39"/>
      <c r="P25" s="40">
        <f t="shared" si="4"/>
        <v>0</v>
      </c>
      <c r="Q25" s="40">
        <v>0</v>
      </c>
    </row>
    <row r="26" spans="1:27" s="5" customFormat="1" ht="165.6" customHeight="1">
      <c r="A26" s="8"/>
      <c r="B26" s="8"/>
      <c r="C26" s="8"/>
      <c r="D26" s="8"/>
      <c r="E26" s="8"/>
      <c r="F26" s="17" t="s">
        <v>185</v>
      </c>
      <c r="G26" s="17" t="s">
        <v>106</v>
      </c>
      <c r="H26" s="17" t="s">
        <v>104</v>
      </c>
      <c r="I26" s="17" t="s">
        <v>108</v>
      </c>
      <c r="J26" s="39">
        <v>3655.5</v>
      </c>
      <c r="K26" s="39">
        <v>3655.5</v>
      </c>
      <c r="L26" s="39">
        <v>3655.5</v>
      </c>
      <c r="M26" s="39"/>
      <c r="N26" s="39"/>
      <c r="O26" s="39"/>
      <c r="P26" s="40">
        <f t="shared" si="4"/>
        <v>0</v>
      </c>
      <c r="Q26" s="40">
        <v>0</v>
      </c>
    </row>
    <row r="27" spans="1:27" s="5" customFormat="1" ht="93" customHeight="1">
      <c r="A27" s="8"/>
      <c r="B27" s="8"/>
      <c r="C27" s="8"/>
      <c r="D27" s="8"/>
      <c r="E27" s="8"/>
      <c r="F27" s="17" t="s">
        <v>96</v>
      </c>
      <c r="G27" s="17" t="s">
        <v>117</v>
      </c>
      <c r="H27" s="17" t="s">
        <v>104</v>
      </c>
      <c r="I27" s="17" t="s">
        <v>108</v>
      </c>
      <c r="J27" s="39"/>
      <c r="K27" s="39"/>
      <c r="L27" s="39"/>
      <c r="M27" s="39"/>
      <c r="N27" s="39"/>
      <c r="O27" s="39"/>
      <c r="P27" s="40">
        <v>0</v>
      </c>
      <c r="Q27" s="40">
        <v>0</v>
      </c>
    </row>
    <row r="28" spans="1:27" s="5" customFormat="1" ht="147" customHeight="1">
      <c r="A28" s="8"/>
      <c r="B28" s="8"/>
      <c r="C28" s="8"/>
      <c r="D28" s="8"/>
      <c r="E28" s="8"/>
      <c r="F28" s="17" t="s">
        <v>186</v>
      </c>
      <c r="G28" s="17" t="s">
        <v>106</v>
      </c>
      <c r="H28" s="17" t="s">
        <v>104</v>
      </c>
      <c r="I28" s="17" t="s">
        <v>108</v>
      </c>
      <c r="J28" s="39">
        <v>15000</v>
      </c>
      <c r="K28" s="39">
        <v>15000</v>
      </c>
      <c r="L28" s="39">
        <v>15000</v>
      </c>
      <c r="M28" s="39"/>
      <c r="N28" s="39"/>
      <c r="O28" s="39"/>
      <c r="P28" s="40">
        <f t="shared" si="4"/>
        <v>0</v>
      </c>
      <c r="Q28" s="40">
        <v>0</v>
      </c>
    </row>
    <row r="29" spans="1:27" s="5" customFormat="1" ht="112.9" customHeight="1">
      <c r="A29" s="8"/>
      <c r="B29" s="8"/>
      <c r="C29" s="8"/>
      <c r="D29" s="8"/>
      <c r="E29" s="8"/>
      <c r="F29" s="74" t="s">
        <v>187</v>
      </c>
      <c r="G29" s="74" t="s">
        <v>119</v>
      </c>
      <c r="H29" s="17" t="s">
        <v>104</v>
      </c>
      <c r="I29" s="17" t="s">
        <v>108</v>
      </c>
      <c r="J29" s="43">
        <f>2874.8+6033.9</f>
        <v>8908.7000000000007</v>
      </c>
      <c r="K29" s="43">
        <f>2874.8+6033.9</f>
        <v>8908.7000000000007</v>
      </c>
      <c r="L29" s="43">
        <f>2874.8+6033.9</f>
        <v>8908.7000000000007</v>
      </c>
      <c r="M29" s="43">
        <f>2874.83143+1406.83327+531.06673</f>
        <v>4812.7314299999998</v>
      </c>
      <c r="N29" s="43">
        <f>2874.83143+1406.83327+531.06673</f>
        <v>4812.7314299999998</v>
      </c>
      <c r="O29" s="43">
        <v>4803.5720000000001</v>
      </c>
      <c r="P29" s="40">
        <f t="shared" ref="P29:P30" si="13">O29/L29*100</f>
        <v>53.92001077598303</v>
      </c>
      <c r="Q29" s="40">
        <f t="shared" ref="Q29:Q30" si="14">O29/M29*100</f>
        <v>99.809683334023063</v>
      </c>
    </row>
    <row r="30" spans="1:27" s="5" customFormat="1" ht="180" customHeight="1">
      <c r="A30" s="8"/>
      <c r="B30" s="8"/>
      <c r="C30" s="8"/>
      <c r="D30" s="8"/>
      <c r="E30" s="8"/>
      <c r="F30" s="74" t="s">
        <v>188</v>
      </c>
      <c r="G30" s="17" t="s">
        <v>106</v>
      </c>
      <c r="H30" s="17" t="s">
        <v>104</v>
      </c>
      <c r="I30" s="17" t="s">
        <v>115</v>
      </c>
      <c r="J30" s="43">
        <v>17025.8</v>
      </c>
      <c r="K30" s="43">
        <v>17025.8</v>
      </c>
      <c r="L30" s="43">
        <v>17025.8</v>
      </c>
      <c r="M30" s="43">
        <f t="shared" ref="M30:O30" si="15">5131.875</f>
        <v>5131.875</v>
      </c>
      <c r="N30" s="43">
        <f t="shared" si="15"/>
        <v>5131.875</v>
      </c>
      <c r="O30" s="43">
        <f t="shared" si="15"/>
        <v>5131.875</v>
      </c>
      <c r="P30" s="40">
        <f t="shared" si="13"/>
        <v>30.141755453488241</v>
      </c>
      <c r="Q30" s="40">
        <f t="shared" si="14"/>
        <v>100</v>
      </c>
    </row>
    <row r="31" spans="1:27" s="5" customFormat="1" ht="114.6" customHeight="1">
      <c r="A31" s="8"/>
      <c r="B31" s="8"/>
      <c r="C31" s="8"/>
      <c r="D31" s="8"/>
      <c r="E31" s="8"/>
      <c r="F31" s="74" t="s">
        <v>189</v>
      </c>
      <c r="G31" s="74" t="s">
        <v>111</v>
      </c>
      <c r="H31" s="17" t="s">
        <v>104</v>
      </c>
      <c r="I31" s="17" t="s">
        <v>108</v>
      </c>
      <c r="J31" s="43">
        <v>8000</v>
      </c>
      <c r="K31" s="43">
        <v>8000</v>
      </c>
      <c r="L31" s="43">
        <v>8000</v>
      </c>
      <c r="M31" s="43">
        <v>8000</v>
      </c>
      <c r="N31" s="43">
        <v>8000</v>
      </c>
      <c r="O31" s="43">
        <v>8000</v>
      </c>
      <c r="P31" s="40">
        <f t="shared" ref="P31:P33" si="16">O31/L31*100</f>
        <v>100</v>
      </c>
      <c r="Q31" s="40">
        <f t="shared" ref="Q31:Q32" si="17">O31/M31*100</f>
        <v>100</v>
      </c>
    </row>
    <row r="32" spans="1:27" s="5" customFormat="1" ht="119.45" customHeight="1">
      <c r="A32" s="8"/>
      <c r="B32" s="8"/>
      <c r="C32" s="8"/>
      <c r="D32" s="8"/>
      <c r="E32" s="8"/>
      <c r="F32" s="74" t="s">
        <v>190</v>
      </c>
      <c r="G32" s="17" t="s">
        <v>159</v>
      </c>
      <c r="H32" s="17" t="s">
        <v>104</v>
      </c>
      <c r="I32" s="17" t="s">
        <v>115</v>
      </c>
      <c r="J32" s="43">
        <v>6833.3</v>
      </c>
      <c r="K32" s="43">
        <v>6833.3</v>
      </c>
      <c r="L32" s="43">
        <v>6833.3</v>
      </c>
      <c r="M32" s="43">
        <f>4441.645</f>
        <v>4441.6450000000004</v>
      </c>
      <c r="N32" s="43">
        <f>4441.645</f>
        <v>4441.6450000000004</v>
      </c>
      <c r="O32" s="43">
        <v>3425</v>
      </c>
      <c r="P32" s="40">
        <f t="shared" si="16"/>
        <v>50.122195718027896</v>
      </c>
      <c r="Q32" s="40">
        <f t="shared" si="17"/>
        <v>77.111070335427527</v>
      </c>
    </row>
    <row r="33" spans="1:27" s="5" customFormat="1" ht="96" customHeight="1">
      <c r="A33" s="8"/>
      <c r="B33" s="8"/>
      <c r="C33" s="8"/>
      <c r="D33" s="8"/>
      <c r="E33" s="8"/>
      <c r="F33" s="74" t="s">
        <v>191</v>
      </c>
      <c r="G33" s="17" t="s">
        <v>160</v>
      </c>
      <c r="H33" s="17" t="s">
        <v>104</v>
      </c>
      <c r="I33" s="17" t="s">
        <v>115</v>
      </c>
      <c r="J33" s="43">
        <v>10000</v>
      </c>
      <c r="K33" s="43">
        <v>10000</v>
      </c>
      <c r="L33" s="43">
        <v>10000</v>
      </c>
      <c r="M33" s="43"/>
      <c r="N33" s="43"/>
      <c r="O33" s="43"/>
      <c r="P33" s="40">
        <f t="shared" si="16"/>
        <v>0</v>
      </c>
      <c r="Q33" s="40">
        <v>0</v>
      </c>
    </row>
    <row r="34" spans="1:27" s="5" customFormat="1" ht="132.6" customHeight="1">
      <c r="A34" s="8"/>
      <c r="B34" s="8"/>
      <c r="C34" s="8"/>
      <c r="D34" s="8"/>
      <c r="E34" s="8"/>
      <c r="F34" s="75" t="s">
        <v>71</v>
      </c>
      <c r="G34" s="74"/>
      <c r="H34" s="17"/>
      <c r="I34" s="17"/>
      <c r="J34" s="76">
        <f>J35+J36+J37+J38</f>
        <v>15658.7</v>
      </c>
      <c r="K34" s="76">
        <f>K35+K36+K37+K38</f>
        <v>15658.7</v>
      </c>
      <c r="L34" s="76">
        <f t="shared" ref="L34:O34" si="18">L35+L36+L37+L38</f>
        <v>15658.7</v>
      </c>
      <c r="M34" s="76">
        <f t="shared" si="18"/>
        <v>11567.35</v>
      </c>
      <c r="N34" s="76">
        <f t="shared" si="18"/>
        <v>11567.35</v>
      </c>
      <c r="O34" s="76">
        <f t="shared" si="18"/>
        <v>11567.35</v>
      </c>
      <c r="P34" s="42">
        <f t="shared" ref="P34:P37" si="19">O34/L34*100</f>
        <v>73.871713488348334</v>
      </c>
      <c r="Q34" s="42">
        <f t="shared" ref="Q34:Q37" si="20">O34/M34*100</f>
        <v>100</v>
      </c>
    </row>
    <row r="35" spans="1:27" s="5" customFormat="1" ht="156" customHeight="1">
      <c r="A35" s="8"/>
      <c r="B35" s="8"/>
      <c r="C35" s="8"/>
      <c r="D35" s="8"/>
      <c r="E35" s="8"/>
      <c r="F35" s="74" t="s">
        <v>72</v>
      </c>
      <c r="G35" s="17" t="s">
        <v>106</v>
      </c>
      <c r="H35" s="17" t="s">
        <v>104</v>
      </c>
      <c r="I35" s="17" t="s">
        <v>115</v>
      </c>
      <c r="J35" s="77">
        <v>3023.7</v>
      </c>
      <c r="K35" s="77">
        <v>3023.7</v>
      </c>
      <c r="L35" s="77">
        <v>3023.7</v>
      </c>
      <c r="M35" s="43">
        <f>2932.35</f>
        <v>2932.35</v>
      </c>
      <c r="N35" s="43">
        <f t="shared" ref="N35:O35" si="21">2932.35</f>
        <v>2932.35</v>
      </c>
      <c r="O35" s="43">
        <f t="shared" si="21"/>
        <v>2932.35</v>
      </c>
      <c r="P35" s="40">
        <f t="shared" si="19"/>
        <v>96.978866951086417</v>
      </c>
      <c r="Q35" s="40">
        <f t="shared" si="20"/>
        <v>100</v>
      </c>
    </row>
    <row r="36" spans="1:27" s="5" customFormat="1" ht="152.44999999999999" customHeight="1">
      <c r="A36" s="8"/>
      <c r="B36" s="8"/>
      <c r="C36" s="8"/>
      <c r="D36" s="8"/>
      <c r="E36" s="8"/>
      <c r="F36" s="74" t="s">
        <v>73</v>
      </c>
      <c r="G36" s="17" t="s">
        <v>106</v>
      </c>
      <c r="H36" s="17" t="s">
        <v>104</v>
      </c>
      <c r="I36" s="17" t="s">
        <v>115</v>
      </c>
      <c r="J36" s="77">
        <v>4635</v>
      </c>
      <c r="K36" s="77">
        <v>4635</v>
      </c>
      <c r="L36" s="77">
        <v>4635</v>
      </c>
      <c r="M36" s="77">
        <v>4635</v>
      </c>
      <c r="N36" s="77">
        <v>4635</v>
      </c>
      <c r="O36" s="77">
        <v>4635</v>
      </c>
      <c r="P36" s="40">
        <f t="shared" si="19"/>
        <v>100</v>
      </c>
      <c r="Q36" s="40">
        <f t="shared" si="20"/>
        <v>100</v>
      </c>
    </row>
    <row r="37" spans="1:27" s="5" customFormat="1" ht="147.6" customHeight="1">
      <c r="A37" s="8"/>
      <c r="B37" s="8"/>
      <c r="C37" s="8"/>
      <c r="D37" s="8"/>
      <c r="E37" s="8"/>
      <c r="F37" s="74" t="s">
        <v>74</v>
      </c>
      <c r="G37" s="17" t="s">
        <v>106</v>
      </c>
      <c r="H37" s="17" t="s">
        <v>104</v>
      </c>
      <c r="I37" s="17" t="s">
        <v>115</v>
      </c>
      <c r="J37" s="77">
        <v>4000</v>
      </c>
      <c r="K37" s="77">
        <v>4000</v>
      </c>
      <c r="L37" s="77">
        <v>4000</v>
      </c>
      <c r="M37" s="43">
        <v>4000</v>
      </c>
      <c r="N37" s="43">
        <v>4000</v>
      </c>
      <c r="O37" s="43">
        <v>4000</v>
      </c>
      <c r="P37" s="40">
        <f t="shared" si="19"/>
        <v>100</v>
      </c>
      <c r="Q37" s="40">
        <f t="shared" si="20"/>
        <v>100</v>
      </c>
    </row>
    <row r="38" spans="1:27" s="5" customFormat="1" ht="147.6" customHeight="1">
      <c r="A38" s="8"/>
      <c r="B38" s="8"/>
      <c r="C38" s="8"/>
      <c r="D38" s="8"/>
      <c r="E38" s="8"/>
      <c r="F38" s="74" t="s">
        <v>161</v>
      </c>
      <c r="G38" s="17" t="s">
        <v>106</v>
      </c>
      <c r="H38" s="17" t="s">
        <v>104</v>
      </c>
      <c r="I38" s="17" t="s">
        <v>115</v>
      </c>
      <c r="J38" s="77">
        <v>4000</v>
      </c>
      <c r="K38" s="77">
        <v>4000</v>
      </c>
      <c r="L38" s="77">
        <v>4000</v>
      </c>
      <c r="M38" s="43"/>
      <c r="N38" s="43"/>
      <c r="O38" s="43"/>
      <c r="P38" s="40">
        <f t="shared" ref="P38" si="22">O38/L38*100</f>
        <v>0</v>
      </c>
      <c r="Q38" s="40">
        <v>0</v>
      </c>
    </row>
    <row r="39" spans="1:27" ht="56.45" customHeight="1">
      <c r="A39" s="8"/>
      <c r="B39" s="8"/>
      <c r="C39" s="8"/>
      <c r="D39" s="8"/>
      <c r="E39" s="8"/>
      <c r="F39" s="44" t="s">
        <v>4</v>
      </c>
      <c r="G39" s="38"/>
      <c r="H39" s="38"/>
      <c r="I39" s="38"/>
      <c r="J39" s="45">
        <f t="shared" ref="J39" si="23">J41+J50+J40</f>
        <v>440468.94878999999</v>
      </c>
      <c r="K39" s="45">
        <f t="shared" ref="K39" si="24">K41+K50+K40</f>
        <v>440468.94878999999</v>
      </c>
      <c r="L39" s="45">
        <f t="shared" ref="L39" si="25">L41+L50+L40</f>
        <v>440468.94878999999</v>
      </c>
      <c r="M39" s="45">
        <f t="shared" ref="M39:O39" si="26">M41+M50+M40</f>
        <v>396855.00638000004</v>
      </c>
      <c r="N39" s="45">
        <f t="shared" si="26"/>
        <v>396855.00638000004</v>
      </c>
      <c r="O39" s="45">
        <f t="shared" si="26"/>
        <v>382460.00638000004</v>
      </c>
      <c r="P39" s="46">
        <f t="shared" si="4"/>
        <v>86.830185744226767</v>
      </c>
      <c r="Q39" s="46">
        <f t="shared" si="5"/>
        <v>96.372730652611111</v>
      </c>
    </row>
    <row r="40" spans="1:27" s="1" customFormat="1" ht="91.9" customHeight="1">
      <c r="A40" s="8">
        <v>1</v>
      </c>
      <c r="B40" s="8">
        <v>1</v>
      </c>
      <c r="C40" s="8"/>
      <c r="D40" s="8"/>
      <c r="E40" s="8"/>
      <c r="F40" s="28" t="s">
        <v>25</v>
      </c>
      <c r="G40" s="37" t="s">
        <v>120</v>
      </c>
      <c r="H40" s="37" t="s">
        <v>121</v>
      </c>
      <c r="I40" s="37" t="s">
        <v>122</v>
      </c>
      <c r="J40" s="47">
        <v>6184</v>
      </c>
      <c r="K40" s="47">
        <v>6184</v>
      </c>
      <c r="L40" s="47">
        <v>6184</v>
      </c>
      <c r="M40" s="47">
        <v>6184</v>
      </c>
      <c r="N40" s="47">
        <v>6184</v>
      </c>
      <c r="O40" s="47">
        <v>4789</v>
      </c>
      <c r="P40" s="42">
        <f t="shared" si="4"/>
        <v>77.441785252263912</v>
      </c>
      <c r="Q40" s="42">
        <f t="shared" si="5"/>
        <v>77.441785252263912</v>
      </c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66" customHeight="1">
      <c r="A41" s="8"/>
      <c r="B41" s="8"/>
      <c r="C41" s="8"/>
      <c r="D41" s="8"/>
      <c r="E41" s="8"/>
      <c r="F41" s="28" t="s">
        <v>26</v>
      </c>
      <c r="G41" s="28"/>
      <c r="H41" s="28"/>
      <c r="I41" s="28"/>
      <c r="J41" s="41">
        <f>SUM(J42:J49)</f>
        <v>230000</v>
      </c>
      <c r="K41" s="41">
        <f>SUM(K42:K49)</f>
        <v>230000</v>
      </c>
      <c r="L41" s="41">
        <f t="shared" ref="L41:O41" si="27">SUM(L42:L49)</f>
        <v>230000</v>
      </c>
      <c r="M41" s="41">
        <f t="shared" si="27"/>
        <v>194414.44896000001</v>
      </c>
      <c r="N41" s="41">
        <f t="shared" si="27"/>
        <v>194414.44896000001</v>
      </c>
      <c r="O41" s="41">
        <f t="shared" si="27"/>
        <v>181414.44896000001</v>
      </c>
      <c r="P41" s="42">
        <f t="shared" si="4"/>
        <v>78.875847373913047</v>
      </c>
      <c r="Q41" s="42">
        <f t="shared" si="5"/>
        <v>93.313254200219092</v>
      </c>
    </row>
    <row r="42" spans="1:27" ht="112.5">
      <c r="A42" s="8">
        <v>1</v>
      </c>
      <c r="B42" s="8">
        <v>1</v>
      </c>
      <c r="C42" s="8">
        <v>1</v>
      </c>
      <c r="D42" s="8">
        <v>1</v>
      </c>
      <c r="E42" s="8">
        <v>1</v>
      </c>
      <c r="F42" s="17" t="s">
        <v>27</v>
      </c>
      <c r="G42" s="37" t="s">
        <v>123</v>
      </c>
      <c r="H42" s="37" t="s">
        <v>104</v>
      </c>
      <c r="I42" s="37" t="s">
        <v>124</v>
      </c>
      <c r="J42" s="48">
        <v>52000</v>
      </c>
      <c r="K42" s="48">
        <v>52000</v>
      </c>
      <c r="L42" s="48">
        <v>52000</v>
      </c>
      <c r="M42" s="48">
        <f>11331.27324+4217.90344+10000+10020.01025+15188.57594+1242.23713</f>
        <v>52000</v>
      </c>
      <c r="N42" s="48">
        <f>11331.27324+4217.90344+10000+10020.01025+15188.57594+1242.23713</f>
        <v>52000</v>
      </c>
      <c r="O42" s="48">
        <f>11331.27324+4217.90344+10000+10020.01025+15188.57594+1242.23713</f>
        <v>52000</v>
      </c>
      <c r="P42" s="40">
        <f t="shared" si="4"/>
        <v>100</v>
      </c>
      <c r="Q42" s="40">
        <f t="shared" si="5"/>
        <v>100</v>
      </c>
    </row>
    <row r="43" spans="1:27" ht="112.5">
      <c r="A43" s="8">
        <v>1</v>
      </c>
      <c r="B43" s="8">
        <v>1</v>
      </c>
      <c r="C43" s="8">
        <v>1</v>
      </c>
      <c r="D43" s="8">
        <v>1</v>
      </c>
      <c r="E43" s="8">
        <v>1</v>
      </c>
      <c r="F43" s="17" t="s">
        <v>28</v>
      </c>
      <c r="G43" s="37" t="s">
        <v>125</v>
      </c>
      <c r="H43" s="37" t="s">
        <v>104</v>
      </c>
      <c r="I43" s="37" t="s">
        <v>124</v>
      </c>
      <c r="J43" s="48">
        <v>8000</v>
      </c>
      <c r="K43" s="48">
        <v>8000</v>
      </c>
      <c r="L43" s="48">
        <v>8000</v>
      </c>
      <c r="M43" s="48">
        <f>2000+2000+4000</f>
        <v>8000</v>
      </c>
      <c r="N43" s="48">
        <f>2000+2000+4000</f>
        <v>8000</v>
      </c>
      <c r="O43" s="48">
        <f>2000+2000+4000</f>
        <v>8000</v>
      </c>
      <c r="P43" s="40">
        <f t="shared" si="4"/>
        <v>100</v>
      </c>
      <c r="Q43" s="40">
        <f t="shared" si="5"/>
        <v>100</v>
      </c>
    </row>
    <row r="44" spans="1:27" ht="93.75">
      <c r="A44" s="8">
        <v>1</v>
      </c>
      <c r="B44" s="8">
        <v>1</v>
      </c>
      <c r="C44" s="8">
        <v>1</v>
      </c>
      <c r="D44" s="8">
        <v>1</v>
      </c>
      <c r="E44" s="8">
        <v>1</v>
      </c>
      <c r="F44" s="17" t="s">
        <v>29</v>
      </c>
      <c r="G44" s="37" t="s">
        <v>110</v>
      </c>
      <c r="H44" s="37" t="s">
        <v>104</v>
      </c>
      <c r="I44" s="37" t="s">
        <v>124</v>
      </c>
      <c r="J44" s="48">
        <v>35500</v>
      </c>
      <c r="K44" s="48">
        <v>35500</v>
      </c>
      <c r="L44" s="48">
        <v>35500</v>
      </c>
      <c r="M44" s="48">
        <v>35500</v>
      </c>
      <c r="N44" s="48">
        <v>35500</v>
      </c>
      <c r="O44" s="48">
        <v>35500</v>
      </c>
      <c r="P44" s="40">
        <f t="shared" si="4"/>
        <v>100</v>
      </c>
      <c r="Q44" s="40">
        <f t="shared" si="5"/>
        <v>100</v>
      </c>
    </row>
    <row r="45" spans="1:27" ht="112.5">
      <c r="A45" s="8">
        <v>1</v>
      </c>
      <c r="B45" s="8">
        <v>1</v>
      </c>
      <c r="C45" s="8">
        <v>1</v>
      </c>
      <c r="D45" s="8">
        <v>1</v>
      </c>
      <c r="E45" s="8">
        <v>1</v>
      </c>
      <c r="F45" s="17" t="s">
        <v>30</v>
      </c>
      <c r="G45" s="37" t="s">
        <v>126</v>
      </c>
      <c r="H45" s="37" t="s">
        <v>104</v>
      </c>
      <c r="I45" s="37" t="s">
        <v>124</v>
      </c>
      <c r="J45" s="48">
        <v>36000</v>
      </c>
      <c r="K45" s="48">
        <v>36000</v>
      </c>
      <c r="L45" s="48">
        <v>36000</v>
      </c>
      <c r="M45" s="48">
        <v>36000</v>
      </c>
      <c r="N45" s="48">
        <v>36000</v>
      </c>
      <c r="O45" s="48">
        <v>36000</v>
      </c>
      <c r="P45" s="40">
        <f t="shared" si="4"/>
        <v>100</v>
      </c>
      <c r="Q45" s="40">
        <f t="shared" si="5"/>
        <v>100</v>
      </c>
    </row>
    <row r="46" spans="1:27" ht="93.75">
      <c r="A46" s="8">
        <v>1</v>
      </c>
      <c r="B46" s="8">
        <v>1</v>
      </c>
      <c r="C46" s="8">
        <v>1</v>
      </c>
      <c r="D46" s="8"/>
      <c r="E46" s="8">
        <v>1</v>
      </c>
      <c r="F46" s="17" t="s">
        <v>31</v>
      </c>
      <c r="G46" s="37" t="s">
        <v>114</v>
      </c>
      <c r="H46" s="37" t="s">
        <v>104</v>
      </c>
      <c r="I46" s="37" t="s">
        <v>124</v>
      </c>
      <c r="J46" s="48">
        <v>30000</v>
      </c>
      <c r="K46" s="48">
        <v>30000</v>
      </c>
      <c r="L46" s="48">
        <v>30000</v>
      </c>
      <c r="M46" s="48">
        <f>10011.8588+7667.91434+5000+1734.67582</f>
        <v>24414.448960000002</v>
      </c>
      <c r="N46" s="48">
        <f>10011.8588+7667.91434+5000+1734.67582</f>
        <v>24414.448960000002</v>
      </c>
      <c r="O46" s="82">
        <f>10011.8588+7667.91434+5000+1734.67582</f>
        <v>24414.448960000002</v>
      </c>
      <c r="P46" s="40">
        <f t="shared" si="4"/>
        <v>81.381496533333348</v>
      </c>
      <c r="Q46" s="40">
        <f t="shared" si="5"/>
        <v>100</v>
      </c>
    </row>
    <row r="47" spans="1:27" ht="119.45" customHeight="1">
      <c r="A47" s="8">
        <v>1</v>
      </c>
      <c r="B47" s="8">
        <v>1</v>
      </c>
      <c r="C47" s="8">
        <v>1</v>
      </c>
      <c r="D47" s="8"/>
      <c r="E47" s="8">
        <v>1</v>
      </c>
      <c r="F47" s="17" t="s">
        <v>32</v>
      </c>
      <c r="G47" s="37" t="s">
        <v>111</v>
      </c>
      <c r="H47" s="37" t="s">
        <v>104</v>
      </c>
      <c r="I47" s="37" t="s">
        <v>124</v>
      </c>
      <c r="J47" s="48">
        <v>25500</v>
      </c>
      <c r="K47" s="48">
        <v>25500</v>
      </c>
      <c r="L47" s="48">
        <v>25500</v>
      </c>
      <c r="M47" s="48">
        <f>7750+1055.78668+100+6594.21332+10000</f>
        <v>25500</v>
      </c>
      <c r="N47" s="48">
        <f>7750+1055.78668+100+6594.21332+10000</f>
        <v>25500</v>
      </c>
      <c r="O47" s="48">
        <f>7750+1055.78668+100+6594.21332+10000</f>
        <v>25500</v>
      </c>
      <c r="P47" s="40">
        <f t="shared" si="4"/>
        <v>100</v>
      </c>
      <c r="Q47" s="40">
        <f t="shared" si="5"/>
        <v>100</v>
      </c>
    </row>
    <row r="48" spans="1:27" s="5" customFormat="1" ht="119.45" customHeight="1">
      <c r="A48" s="8"/>
      <c r="B48" s="8"/>
      <c r="C48" s="8"/>
      <c r="D48" s="8"/>
      <c r="E48" s="8"/>
      <c r="F48" s="63" t="s">
        <v>162</v>
      </c>
      <c r="G48" s="63" t="s">
        <v>128</v>
      </c>
      <c r="H48" s="37" t="s">
        <v>104</v>
      </c>
      <c r="I48" s="37" t="s">
        <v>124</v>
      </c>
      <c r="J48" s="48">
        <v>13000</v>
      </c>
      <c r="K48" s="48">
        <v>13000</v>
      </c>
      <c r="L48" s="48">
        <v>13000</v>
      </c>
      <c r="M48" s="48">
        <v>13000</v>
      </c>
      <c r="N48" s="48">
        <v>13000</v>
      </c>
      <c r="O48" s="48"/>
      <c r="P48" s="40">
        <f t="shared" ref="P48:P49" si="28">O48/L48*100</f>
        <v>0</v>
      </c>
      <c r="Q48" s="40">
        <f t="shared" ref="Q48" si="29">O48/M48*100</f>
        <v>0</v>
      </c>
    </row>
    <row r="49" spans="1:27" s="5" customFormat="1" ht="119.45" customHeight="1">
      <c r="A49" s="8"/>
      <c r="B49" s="8"/>
      <c r="C49" s="8"/>
      <c r="D49" s="8"/>
      <c r="E49" s="8"/>
      <c r="F49" s="63" t="s">
        <v>163</v>
      </c>
      <c r="G49" s="63" t="s">
        <v>117</v>
      </c>
      <c r="H49" s="37" t="s">
        <v>104</v>
      </c>
      <c r="I49" s="37" t="s">
        <v>124</v>
      </c>
      <c r="J49" s="48">
        <v>30000</v>
      </c>
      <c r="K49" s="48">
        <v>30000</v>
      </c>
      <c r="L49" s="48">
        <v>30000</v>
      </c>
      <c r="M49" s="48"/>
      <c r="N49" s="48"/>
      <c r="O49" s="48"/>
      <c r="P49" s="40">
        <f t="shared" si="28"/>
        <v>0</v>
      </c>
      <c r="Q49" s="40">
        <v>0</v>
      </c>
    </row>
    <row r="50" spans="1:27" s="1" customFormat="1" ht="58.5">
      <c r="A50" s="8"/>
      <c r="B50" s="8"/>
      <c r="C50" s="8"/>
      <c r="D50" s="8"/>
      <c r="E50" s="8"/>
      <c r="F50" s="28" t="s">
        <v>33</v>
      </c>
      <c r="G50" s="28"/>
      <c r="H50" s="28"/>
      <c r="I50" s="28"/>
      <c r="J50" s="41">
        <f t="shared" ref="J50" si="30">SUM(J51:J56)</f>
        <v>204284.94878999999</v>
      </c>
      <c r="K50" s="41">
        <f t="shared" ref="K50" si="31">SUM(K51:K56)</f>
        <v>204284.94878999999</v>
      </c>
      <c r="L50" s="41">
        <f t="shared" ref="L50:O50" si="32">SUM(L51:L56)</f>
        <v>204284.94878999999</v>
      </c>
      <c r="M50" s="41">
        <f t="shared" si="32"/>
        <v>196256.55742</v>
      </c>
      <c r="N50" s="41">
        <f t="shared" si="32"/>
        <v>196256.55742</v>
      </c>
      <c r="O50" s="41">
        <f t="shared" si="32"/>
        <v>196256.55742</v>
      </c>
      <c r="P50" s="42">
        <f t="shared" si="4"/>
        <v>96.070003484078029</v>
      </c>
      <c r="Q50" s="42">
        <f t="shared" si="5"/>
        <v>100</v>
      </c>
    </row>
    <row r="51" spans="1:27" ht="150">
      <c r="A51" s="8">
        <v>1</v>
      </c>
      <c r="B51" s="8">
        <v>1</v>
      </c>
      <c r="C51" s="8">
        <v>1</v>
      </c>
      <c r="D51" s="8">
        <v>1</v>
      </c>
      <c r="E51" s="8"/>
      <c r="F51" s="17" t="s">
        <v>34</v>
      </c>
      <c r="G51" s="78" t="s">
        <v>106</v>
      </c>
      <c r="H51" s="17" t="s">
        <v>104</v>
      </c>
      <c r="I51" s="17" t="s">
        <v>127</v>
      </c>
      <c r="J51" s="48">
        <f>16301.59-1260+23458.4</f>
        <v>38499.990000000005</v>
      </c>
      <c r="K51" s="48">
        <f>16301.59-1260+23458.4</f>
        <v>38499.990000000005</v>
      </c>
      <c r="L51" s="48">
        <f>16301.59-1260+23458.4</f>
        <v>38499.990000000005</v>
      </c>
      <c r="M51" s="48">
        <f>81.32182+17.59538+138.4054+4911.74094+8209.13726+29.8+7130.85642+8398.26731+4500+5054.4741</f>
        <v>38471.59863</v>
      </c>
      <c r="N51" s="48">
        <f>81.32182+17.59538+138.4054+4911.74094+8209.13726+29.8+7130.85642+8398.26731+4500+5054.4741</f>
        <v>38471.59863</v>
      </c>
      <c r="O51" s="48">
        <f>81.32182+17.59538+138.4054+4911.74094+8209.13726+29.8+7130.85642+8398.26731+4500+5054.4741</f>
        <v>38471.59863</v>
      </c>
      <c r="P51" s="40">
        <f t="shared" si="4"/>
        <v>99.926256162663933</v>
      </c>
      <c r="Q51" s="40">
        <f t="shared" si="5"/>
        <v>100</v>
      </c>
    </row>
    <row r="52" spans="1:27" ht="112.5">
      <c r="A52" s="8">
        <v>1</v>
      </c>
      <c r="B52" s="8">
        <v>1</v>
      </c>
      <c r="C52" s="8">
        <v>1</v>
      </c>
      <c r="D52" s="8">
        <v>1</v>
      </c>
      <c r="E52" s="8"/>
      <c r="F52" s="17" t="s">
        <v>35</v>
      </c>
      <c r="G52" s="17" t="s">
        <v>123</v>
      </c>
      <c r="H52" s="17" t="s">
        <v>104</v>
      </c>
      <c r="I52" s="17" t="s">
        <v>122</v>
      </c>
      <c r="J52" s="48">
        <f>100000+40427.5</f>
        <v>140427.5</v>
      </c>
      <c r="K52" s="48">
        <f>100000+40427.5</f>
        <v>140427.5</v>
      </c>
      <c r="L52" s="48">
        <f>100000+40427.5</f>
        <v>140427.5</v>
      </c>
      <c r="M52" s="48">
        <f t="shared" ref="M52:O52" si="33">100000+40427.5</f>
        <v>140427.5</v>
      </c>
      <c r="N52" s="48">
        <f t="shared" si="33"/>
        <v>140427.5</v>
      </c>
      <c r="O52" s="48">
        <f t="shared" si="33"/>
        <v>140427.5</v>
      </c>
      <c r="P52" s="40">
        <f t="shared" si="4"/>
        <v>100</v>
      </c>
      <c r="Q52" s="40">
        <f t="shared" si="5"/>
        <v>100</v>
      </c>
    </row>
    <row r="53" spans="1:27" s="1" customFormat="1" ht="118.15" customHeight="1">
      <c r="A53" s="8">
        <v>1</v>
      </c>
      <c r="B53" s="8">
        <v>1</v>
      </c>
      <c r="C53" s="8">
        <v>1</v>
      </c>
      <c r="D53" s="8">
        <v>1</v>
      </c>
      <c r="E53" s="8"/>
      <c r="F53" s="17" t="s">
        <v>36</v>
      </c>
      <c r="G53" s="17" t="s">
        <v>107</v>
      </c>
      <c r="H53" s="17" t="s">
        <v>104</v>
      </c>
      <c r="I53" s="17" t="s">
        <v>122</v>
      </c>
      <c r="J53" s="48">
        <v>14800</v>
      </c>
      <c r="K53" s="48">
        <v>14800</v>
      </c>
      <c r="L53" s="48">
        <v>14800</v>
      </c>
      <c r="M53" s="48">
        <f>3822.7+183.287+4019.598+253.933+756.12+4679.92+768.356+316.086</f>
        <v>14800</v>
      </c>
      <c r="N53" s="48">
        <f>3822.7+183.287+4019.598+253.933+756.12+4679.92+768.356+316.086</f>
        <v>14800</v>
      </c>
      <c r="O53" s="48">
        <f>3822.7+183.287+4019.598+253.933+756.12+4679.92+768.356+316.086</f>
        <v>14800</v>
      </c>
      <c r="P53" s="40">
        <f t="shared" si="4"/>
        <v>100</v>
      </c>
      <c r="Q53" s="40">
        <f t="shared" si="5"/>
        <v>100</v>
      </c>
      <c r="R53"/>
      <c r="S53"/>
      <c r="T53"/>
      <c r="U53"/>
      <c r="V53"/>
      <c r="W53"/>
      <c r="X53"/>
      <c r="Y53"/>
      <c r="Z53"/>
      <c r="AA53"/>
    </row>
    <row r="54" spans="1:27" s="1" customFormat="1" ht="114.6" customHeight="1">
      <c r="A54" s="8">
        <v>1</v>
      </c>
      <c r="B54" s="8">
        <v>1</v>
      </c>
      <c r="C54" s="8"/>
      <c r="D54" s="8"/>
      <c r="E54" s="8"/>
      <c r="F54" s="17" t="s">
        <v>37</v>
      </c>
      <c r="G54" s="17" t="s">
        <v>128</v>
      </c>
      <c r="H54" s="17" t="s">
        <v>104</v>
      </c>
      <c r="I54" s="17" t="s">
        <v>122</v>
      </c>
      <c r="J54" s="48">
        <v>7000</v>
      </c>
      <c r="K54" s="48">
        <v>7000</v>
      </c>
      <c r="L54" s="48">
        <v>7000</v>
      </c>
      <c r="M54" s="48"/>
      <c r="N54" s="48"/>
      <c r="O54" s="48"/>
      <c r="P54" s="40">
        <f t="shared" si="4"/>
        <v>0</v>
      </c>
      <c r="Q54" s="40">
        <v>0</v>
      </c>
      <c r="R54"/>
      <c r="S54"/>
      <c r="T54"/>
      <c r="U54"/>
      <c r="V54"/>
      <c r="W54"/>
      <c r="X54"/>
      <c r="Y54"/>
      <c r="Z54"/>
      <c r="AA54"/>
    </row>
    <row r="55" spans="1:27" s="1" customFormat="1" ht="107.45" customHeight="1">
      <c r="A55" s="8"/>
      <c r="B55" s="8"/>
      <c r="C55" s="8"/>
      <c r="D55" s="8"/>
      <c r="E55" s="8"/>
      <c r="F55" s="17" t="s">
        <v>60</v>
      </c>
      <c r="G55" s="17" t="s">
        <v>119</v>
      </c>
      <c r="H55" s="17" t="s">
        <v>104</v>
      </c>
      <c r="I55" s="17" t="s">
        <v>122</v>
      </c>
      <c r="J55" s="48">
        <v>1000</v>
      </c>
      <c r="K55" s="48">
        <v>1000</v>
      </c>
      <c r="L55" s="48">
        <v>1000</v>
      </c>
      <c r="M55" s="48"/>
      <c r="N55" s="48"/>
      <c r="O55" s="48"/>
      <c r="P55" s="40">
        <f t="shared" si="4"/>
        <v>0</v>
      </c>
      <c r="Q55" s="40">
        <v>0</v>
      </c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s="1" customFormat="1" ht="121.15" customHeight="1">
      <c r="A56" s="8"/>
      <c r="B56" s="8"/>
      <c r="C56" s="8"/>
      <c r="D56" s="8"/>
      <c r="E56" s="8"/>
      <c r="F56" s="17" t="s">
        <v>75</v>
      </c>
      <c r="G56" s="17" t="s">
        <v>128</v>
      </c>
      <c r="H56" s="17" t="s">
        <v>104</v>
      </c>
      <c r="I56" s="17" t="s">
        <v>122</v>
      </c>
      <c r="J56" s="49">
        <v>2557.4587900000001</v>
      </c>
      <c r="K56" s="49">
        <v>2557.4587900000001</v>
      </c>
      <c r="L56" s="49">
        <v>2557.4587900000001</v>
      </c>
      <c r="M56" s="49">
        <v>2557.4587900000001</v>
      </c>
      <c r="N56" s="49">
        <v>2557.4587900000001</v>
      </c>
      <c r="O56" s="49">
        <v>2557.4587900000001</v>
      </c>
      <c r="P56" s="40">
        <f t="shared" ref="P56" si="34">O56/L56*100</f>
        <v>100</v>
      </c>
      <c r="Q56" s="40">
        <f t="shared" ref="Q56" si="35">O56/M56*100</f>
        <v>100</v>
      </c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73.150000000000006" customHeight="1">
      <c r="A57" s="8"/>
      <c r="B57" s="8"/>
      <c r="C57" s="8"/>
      <c r="D57" s="8"/>
      <c r="E57" s="8"/>
      <c r="F57" s="32" t="s">
        <v>5</v>
      </c>
      <c r="G57" s="32"/>
      <c r="H57" s="32"/>
      <c r="I57" s="32"/>
      <c r="J57" s="50">
        <f t="shared" ref="J57:O57" si="36">SUM(J58)</f>
        <v>83856.55</v>
      </c>
      <c r="K57" s="50">
        <f t="shared" si="36"/>
        <v>83856.55</v>
      </c>
      <c r="L57" s="50">
        <f t="shared" si="36"/>
        <v>83856.55</v>
      </c>
      <c r="M57" s="50">
        <f t="shared" si="36"/>
        <v>31190.14572</v>
      </c>
      <c r="N57" s="50">
        <f t="shared" si="36"/>
        <v>31190.14572</v>
      </c>
      <c r="O57" s="50">
        <f t="shared" si="36"/>
        <v>31190.145300000004</v>
      </c>
      <c r="P57" s="46">
        <f t="shared" si="4"/>
        <v>37.194644067756187</v>
      </c>
      <c r="Q57" s="46">
        <f t="shared" si="5"/>
        <v>99.99999865342086</v>
      </c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s="1" customFormat="1" ht="155.44999999999999" customHeight="1">
      <c r="A58" s="8">
        <v>1</v>
      </c>
      <c r="B58" s="8">
        <v>1</v>
      </c>
      <c r="C58" s="8">
        <v>1</v>
      </c>
      <c r="D58" s="8"/>
      <c r="E58" s="8">
        <v>1</v>
      </c>
      <c r="F58" s="17" t="s">
        <v>158</v>
      </c>
      <c r="G58" s="37" t="s">
        <v>106</v>
      </c>
      <c r="H58" s="37" t="s">
        <v>104</v>
      </c>
      <c r="I58" s="37" t="s">
        <v>129</v>
      </c>
      <c r="J58" s="39">
        <v>83856.55</v>
      </c>
      <c r="K58" s="39">
        <v>83856.55</v>
      </c>
      <c r="L58" s="39">
        <v>83856.55</v>
      </c>
      <c r="M58" s="39">
        <v>31190.14572</v>
      </c>
      <c r="N58" s="39">
        <v>31190.14572</v>
      </c>
      <c r="O58" s="39">
        <f>598.8507+12578.49+1406.87506+1374.84+15231.08954</f>
        <v>31190.145300000004</v>
      </c>
      <c r="P58" s="40">
        <f t="shared" si="4"/>
        <v>37.194644067756187</v>
      </c>
      <c r="Q58" s="40">
        <f t="shared" si="5"/>
        <v>99.99999865342086</v>
      </c>
      <c r="R58"/>
      <c r="S58"/>
      <c r="T58"/>
      <c r="U58"/>
      <c r="V58"/>
      <c r="W58"/>
      <c r="X58"/>
      <c r="Y58"/>
      <c r="Z58"/>
      <c r="AA58"/>
    </row>
    <row r="59" spans="1:27" ht="91.9" customHeight="1">
      <c r="A59" s="8"/>
      <c r="B59" s="8"/>
      <c r="C59" s="8"/>
      <c r="D59" s="8"/>
      <c r="E59" s="8"/>
      <c r="F59" s="32" t="s">
        <v>6</v>
      </c>
      <c r="G59" s="32"/>
      <c r="H59" s="32"/>
      <c r="I59" s="32"/>
      <c r="J59" s="50">
        <f t="shared" ref="J59" si="37">SUM(J60:J63)</f>
        <v>35646.519999999997</v>
      </c>
      <c r="K59" s="50">
        <f t="shared" ref="K59" si="38">SUM(K60:K63)</f>
        <v>35646.519999999997</v>
      </c>
      <c r="L59" s="50">
        <f t="shared" ref="L59:O59" si="39">SUM(L60:L63)</f>
        <v>35646.519999999997</v>
      </c>
      <c r="M59" s="50">
        <f t="shared" si="39"/>
        <v>18458.144670000001</v>
      </c>
      <c r="N59" s="50">
        <f t="shared" si="39"/>
        <v>18458.144670000001</v>
      </c>
      <c r="O59" s="50">
        <f t="shared" si="39"/>
        <v>18458.144670000001</v>
      </c>
      <c r="P59" s="46">
        <f t="shared" si="4"/>
        <v>51.781056523890697</v>
      </c>
      <c r="Q59" s="46">
        <f t="shared" si="5"/>
        <v>100</v>
      </c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7.9" customHeight="1">
      <c r="A60" s="8">
        <v>1</v>
      </c>
      <c r="B60" s="8">
        <v>1</v>
      </c>
      <c r="C60" s="8">
        <v>1</v>
      </c>
      <c r="D60" s="8">
        <v>1</v>
      </c>
      <c r="E60" s="8"/>
      <c r="F60" s="17" t="s">
        <v>38</v>
      </c>
      <c r="G60" s="17" t="s">
        <v>111</v>
      </c>
      <c r="H60" s="17" t="s">
        <v>104</v>
      </c>
      <c r="I60" s="17" t="s">
        <v>108</v>
      </c>
      <c r="J60" s="39">
        <f>43042.32-28942</f>
        <v>14100.32</v>
      </c>
      <c r="K60" s="39">
        <f>43042.32-28942</f>
        <v>14100.32</v>
      </c>
      <c r="L60" s="39">
        <f>43042.32-28942</f>
        <v>14100.32</v>
      </c>
      <c r="M60" s="39"/>
      <c r="N60" s="39"/>
      <c r="O60" s="39"/>
      <c r="P60" s="40">
        <f t="shared" si="4"/>
        <v>0</v>
      </c>
      <c r="Q60" s="40">
        <v>0</v>
      </c>
    </row>
    <row r="61" spans="1:27" s="1" customFormat="1" ht="150">
      <c r="A61" s="8">
        <v>1</v>
      </c>
      <c r="B61" s="8">
        <v>1</v>
      </c>
      <c r="C61" s="8">
        <v>1</v>
      </c>
      <c r="D61" s="8">
        <v>1</v>
      </c>
      <c r="E61" s="8"/>
      <c r="F61" s="17" t="s">
        <v>39</v>
      </c>
      <c r="G61" s="17" t="s">
        <v>106</v>
      </c>
      <c r="H61" s="17" t="s">
        <v>104</v>
      </c>
      <c r="I61" s="17" t="s">
        <v>130</v>
      </c>
      <c r="J61" s="39">
        <f>8000+6059.1+2700</f>
        <v>16759.099999999999</v>
      </c>
      <c r="K61" s="39">
        <f>8000+6059.1+2700</f>
        <v>16759.099999999999</v>
      </c>
      <c r="L61" s="39">
        <f>8000+6059.1+2700</f>
        <v>16759.099999999999</v>
      </c>
      <c r="M61" s="39">
        <f>6059.06993+4.21062+434.37118+555.68388+5543.03821+1074.66477+0.00002</f>
        <v>13671.03861</v>
      </c>
      <c r="N61" s="39">
        <f>6059.06993+4.21062+434.37118+555.68388+5543.03821+1074.66477+0.00002</f>
        <v>13671.03861</v>
      </c>
      <c r="O61" s="39">
        <f>6059.06993+4.21062+434.37118+555.68388+5543.03821+1074.66477+0.00002</f>
        <v>13671.03861</v>
      </c>
      <c r="P61" s="40">
        <f t="shared" si="4"/>
        <v>81.573823236331307</v>
      </c>
      <c r="Q61" s="40">
        <f t="shared" si="5"/>
        <v>100</v>
      </c>
      <c r="R61"/>
      <c r="S61"/>
      <c r="T61"/>
      <c r="U61"/>
      <c r="V61"/>
      <c r="W61"/>
      <c r="X61"/>
      <c r="Y61"/>
      <c r="Z61"/>
      <c r="AA61"/>
    </row>
    <row r="62" spans="1:27" s="1" customFormat="1" ht="147" customHeight="1">
      <c r="A62" s="8"/>
      <c r="B62" s="8"/>
      <c r="C62" s="8"/>
      <c r="D62" s="8"/>
      <c r="E62" s="8"/>
      <c r="F62" s="17" t="s">
        <v>76</v>
      </c>
      <c r="G62" s="17" t="s">
        <v>106</v>
      </c>
      <c r="H62" s="17" t="s">
        <v>104</v>
      </c>
      <c r="I62" s="17" t="s">
        <v>130</v>
      </c>
      <c r="J62" s="39">
        <f>464.4+99.9</f>
        <v>564.29999999999995</v>
      </c>
      <c r="K62" s="39">
        <f>464.4+99.9</f>
        <v>564.29999999999995</v>
      </c>
      <c r="L62" s="39">
        <f>464.4+99.9</f>
        <v>564.29999999999995</v>
      </c>
      <c r="M62" s="39">
        <f>99.9+364.5+0.00606+99.9</f>
        <v>564.30606</v>
      </c>
      <c r="N62" s="39">
        <f>99.9+364.5+0.00606+99.9</f>
        <v>564.30606</v>
      </c>
      <c r="O62" s="39">
        <f>99.9+364.5+0.00606+99.9</f>
        <v>564.30606</v>
      </c>
      <c r="P62" s="40">
        <f t="shared" ref="P62" si="40">O62/L62*100</f>
        <v>100.00107389686337</v>
      </c>
      <c r="Q62" s="40">
        <f t="shared" ref="Q62" si="41">O62/M62*100</f>
        <v>100</v>
      </c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s="1" customFormat="1" ht="146.44999999999999" customHeight="1">
      <c r="A63" s="8"/>
      <c r="B63" s="8"/>
      <c r="C63" s="8"/>
      <c r="D63" s="8"/>
      <c r="E63" s="8"/>
      <c r="F63" s="17" t="s">
        <v>97</v>
      </c>
      <c r="G63" s="17" t="s">
        <v>106</v>
      </c>
      <c r="H63" s="17" t="s">
        <v>104</v>
      </c>
      <c r="I63" s="17" t="s">
        <v>130</v>
      </c>
      <c r="J63" s="39">
        <v>4222.8</v>
      </c>
      <c r="K63" s="39">
        <v>4222.8</v>
      </c>
      <c r="L63" s="39">
        <v>4222.8</v>
      </c>
      <c r="M63" s="39">
        <v>4222.8</v>
      </c>
      <c r="N63" s="39">
        <v>4222.8</v>
      </c>
      <c r="O63" s="39">
        <v>4222.8</v>
      </c>
      <c r="P63" s="40">
        <f t="shared" ref="P63" si="42">O63/L63*100</f>
        <v>100</v>
      </c>
      <c r="Q63" s="40">
        <f t="shared" ref="Q63" si="43">O63/M63*100</f>
        <v>100</v>
      </c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75">
      <c r="A64" s="8"/>
      <c r="B64" s="8"/>
      <c r="C64" s="8"/>
      <c r="D64" s="8"/>
      <c r="E64" s="8"/>
      <c r="F64" s="32" t="s">
        <v>7</v>
      </c>
      <c r="G64" s="32"/>
      <c r="H64" s="32"/>
      <c r="I64" s="32"/>
      <c r="J64" s="50">
        <f t="shared" ref="J64" si="44">SUM(J65:J68)</f>
        <v>52048.800000000003</v>
      </c>
      <c r="K64" s="50">
        <f t="shared" ref="K64" si="45">SUM(K65:K68)</f>
        <v>52048.800000000003</v>
      </c>
      <c r="L64" s="50">
        <f t="shared" ref="L64:O64" si="46">SUM(L65:L68)</f>
        <v>52048.800000000003</v>
      </c>
      <c r="M64" s="50">
        <f t="shared" si="46"/>
        <v>44195.752259999994</v>
      </c>
      <c r="N64" s="50">
        <f t="shared" si="46"/>
        <v>44195.752259999994</v>
      </c>
      <c r="O64" s="50">
        <f t="shared" si="46"/>
        <v>44195.752259999994</v>
      </c>
      <c r="P64" s="46">
        <f t="shared" si="4"/>
        <v>84.912144487480973</v>
      </c>
      <c r="Q64" s="46">
        <f t="shared" si="5"/>
        <v>100</v>
      </c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13.45" customHeight="1">
      <c r="A65" s="8">
        <v>1</v>
      </c>
      <c r="B65" s="8">
        <v>1</v>
      </c>
      <c r="C65" s="8">
        <v>1</v>
      </c>
      <c r="D65" s="8">
        <v>1</v>
      </c>
      <c r="E65" s="8"/>
      <c r="F65" s="17" t="s">
        <v>40</v>
      </c>
      <c r="G65" s="17" t="s">
        <v>131</v>
      </c>
      <c r="H65" s="17" t="s">
        <v>104</v>
      </c>
      <c r="I65" s="17" t="s">
        <v>122</v>
      </c>
      <c r="J65" s="48">
        <v>35548.800000000003</v>
      </c>
      <c r="K65" s="48">
        <v>35548.800000000003</v>
      </c>
      <c r="L65" s="48">
        <v>35548.800000000003</v>
      </c>
      <c r="M65" s="48">
        <f>7500+5000+2500+2500+5548.8+2836.90172+1810.05054</f>
        <v>27695.752259999997</v>
      </c>
      <c r="N65" s="48">
        <f>7500+5000+2500+2500+5548.8+2836.90172+1810.05054</f>
        <v>27695.752259999997</v>
      </c>
      <c r="O65" s="48">
        <f>7500+5000+2500+2500+5548.8+2836.90172+1810.05054</f>
        <v>27695.752259999997</v>
      </c>
      <c r="P65" s="40">
        <f t="shared" si="4"/>
        <v>77.90910596138265</v>
      </c>
      <c r="Q65" s="40">
        <f t="shared" si="5"/>
        <v>100</v>
      </c>
    </row>
    <row r="66" spans="1:27" s="1" customFormat="1" ht="112.5">
      <c r="A66" s="8">
        <v>1</v>
      </c>
      <c r="B66" s="8">
        <v>1</v>
      </c>
      <c r="C66" s="8">
        <v>1</v>
      </c>
      <c r="D66" s="8"/>
      <c r="E66" s="8"/>
      <c r="F66" s="79" t="s">
        <v>41</v>
      </c>
      <c r="G66" s="17" t="s">
        <v>132</v>
      </c>
      <c r="H66" s="17" t="s">
        <v>104</v>
      </c>
      <c r="I66" s="17" t="s">
        <v>122</v>
      </c>
      <c r="J66" s="48">
        <v>13000</v>
      </c>
      <c r="K66" s="48">
        <v>13000</v>
      </c>
      <c r="L66" s="48">
        <v>13000</v>
      </c>
      <c r="M66" s="48">
        <f>1000+8610.39504+97.69961+3291.90535</f>
        <v>13000</v>
      </c>
      <c r="N66" s="48">
        <f>1000+8610.39504+97.69961+3291.90535</f>
        <v>13000</v>
      </c>
      <c r="O66" s="48">
        <f>1000+8610.39504+97.69961+3291.90535</f>
        <v>13000</v>
      </c>
      <c r="P66" s="40">
        <f t="shared" si="4"/>
        <v>100</v>
      </c>
      <c r="Q66" s="40">
        <f t="shared" si="5"/>
        <v>100</v>
      </c>
      <c r="R66"/>
      <c r="S66" s="68"/>
      <c r="T66"/>
      <c r="U66"/>
      <c r="V66"/>
      <c r="W66"/>
      <c r="X66"/>
      <c r="Y66"/>
      <c r="Z66"/>
      <c r="AA66"/>
    </row>
    <row r="67" spans="1:27" s="1" customFormat="1" ht="150">
      <c r="A67" s="8"/>
      <c r="B67" s="8"/>
      <c r="C67" s="8"/>
      <c r="D67" s="8"/>
      <c r="E67" s="8"/>
      <c r="F67" s="17" t="s">
        <v>98</v>
      </c>
      <c r="G67" s="17" t="s">
        <v>106</v>
      </c>
      <c r="H67" s="17" t="s">
        <v>104</v>
      </c>
      <c r="I67" s="17" t="s">
        <v>133</v>
      </c>
      <c r="J67" s="48">
        <v>2500</v>
      </c>
      <c r="K67" s="48">
        <v>2500</v>
      </c>
      <c r="L67" s="48">
        <v>2500</v>
      </c>
      <c r="M67" s="48">
        <v>2500</v>
      </c>
      <c r="N67" s="48">
        <v>2500</v>
      </c>
      <c r="O67" s="48">
        <v>2500</v>
      </c>
      <c r="P67" s="40">
        <f t="shared" ref="P67:P68" si="47">O67/L67*100</f>
        <v>100</v>
      </c>
      <c r="Q67" s="40">
        <f t="shared" ref="Q67:Q68" si="48">O67/M67*100</f>
        <v>100</v>
      </c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s="1" customFormat="1" ht="112.5">
      <c r="A68" s="8"/>
      <c r="B68" s="8"/>
      <c r="C68" s="8"/>
      <c r="D68" s="8"/>
      <c r="E68" s="8"/>
      <c r="F68" s="17" t="s">
        <v>99</v>
      </c>
      <c r="G68" s="17" t="s">
        <v>134</v>
      </c>
      <c r="H68" s="17" t="s">
        <v>104</v>
      </c>
      <c r="I68" s="17" t="s">
        <v>135</v>
      </c>
      <c r="J68" s="48">
        <v>1000</v>
      </c>
      <c r="K68" s="48">
        <v>1000</v>
      </c>
      <c r="L68" s="48">
        <v>1000</v>
      </c>
      <c r="M68" s="48">
        <v>1000</v>
      </c>
      <c r="N68" s="48">
        <v>1000</v>
      </c>
      <c r="O68" s="48">
        <v>1000</v>
      </c>
      <c r="P68" s="40">
        <f t="shared" si="47"/>
        <v>100</v>
      </c>
      <c r="Q68" s="40">
        <f t="shared" si="48"/>
        <v>100</v>
      </c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64.150000000000006" customHeight="1">
      <c r="A69" s="8"/>
      <c r="B69" s="8"/>
      <c r="C69" s="8"/>
      <c r="D69" s="8"/>
      <c r="E69" s="8"/>
      <c r="F69" s="32" t="s">
        <v>8</v>
      </c>
      <c r="G69" s="32"/>
      <c r="H69" s="32"/>
      <c r="I69" s="32"/>
      <c r="J69" s="50">
        <f t="shared" ref="J69" si="49">J70+J71+J72</f>
        <v>82815.192779999998</v>
      </c>
      <c r="K69" s="50">
        <f t="shared" ref="K69" si="50">K70+K71+K72</f>
        <v>82815.192779999998</v>
      </c>
      <c r="L69" s="50">
        <f t="shared" ref="L69:O69" si="51">L70+L71+L72</f>
        <v>82815.192779999998</v>
      </c>
      <c r="M69" s="67">
        <f t="shared" si="51"/>
        <v>82815.183550000016</v>
      </c>
      <c r="N69" s="50">
        <f t="shared" si="51"/>
        <v>82815.183550000016</v>
      </c>
      <c r="O69" s="50">
        <f t="shared" si="51"/>
        <v>82815.183550000016</v>
      </c>
      <c r="P69" s="46">
        <f t="shared" si="4"/>
        <v>99.999988854702053</v>
      </c>
      <c r="Q69" s="46">
        <f t="shared" si="5"/>
        <v>100</v>
      </c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s="1" customFormat="1" ht="157.15" customHeight="1">
      <c r="A70" s="8">
        <v>1</v>
      </c>
      <c r="B70" s="8">
        <v>1</v>
      </c>
      <c r="C70" s="8">
        <v>1</v>
      </c>
      <c r="D70" s="8">
        <v>1</v>
      </c>
      <c r="E70" s="8"/>
      <c r="F70" s="17" t="s">
        <v>157</v>
      </c>
      <c r="G70" s="37" t="s">
        <v>106</v>
      </c>
      <c r="H70" s="37" t="s">
        <v>104</v>
      </c>
      <c r="I70" s="37" t="s">
        <v>136</v>
      </c>
      <c r="J70" s="48">
        <v>81387.399999999994</v>
      </c>
      <c r="K70" s="48">
        <v>81387.399999999994</v>
      </c>
      <c r="L70" s="48">
        <v>81387.399999999994</v>
      </c>
      <c r="M70" s="48">
        <f>36201.3+5662.8082+3624.66992+712.71882+9572.48401+1926.30679+9614.63055+138.02537+8376.9154-207.3+1336.425+3048.23231+1380.2064</f>
        <v>81387.422770000005</v>
      </c>
      <c r="N70" s="48">
        <f>36201.3+5662.8082+3624.66992+712.71882+9572.48401+1926.30679+9614.63055+138.02537+8376.9154-207.3+1336.425+3048.23231+1380.2064</f>
        <v>81387.422770000005</v>
      </c>
      <c r="O70" s="48">
        <f>36201.3+5662.8082+3624.66992+712.71882+9572.48401+1926.30679+9614.63055+138.02537+8376.9154-207.3+1336.425+3048.23231+1380.2064</f>
        <v>81387.422770000005</v>
      </c>
      <c r="P70" s="40">
        <f t="shared" si="4"/>
        <v>100.00002797730363</v>
      </c>
      <c r="Q70" s="40">
        <f t="shared" si="5"/>
        <v>100</v>
      </c>
      <c r="R70"/>
      <c r="S70"/>
      <c r="T70"/>
      <c r="U70"/>
      <c r="V70"/>
      <c r="W70"/>
      <c r="X70"/>
      <c r="Y70"/>
      <c r="Z70"/>
      <c r="AA70"/>
    </row>
    <row r="71" spans="1:27" s="1" customFormat="1" ht="154.15" customHeight="1">
      <c r="A71" s="8"/>
      <c r="B71" s="8"/>
      <c r="C71" s="8"/>
      <c r="D71" s="8"/>
      <c r="E71" s="8"/>
      <c r="F71" s="17" t="s">
        <v>77</v>
      </c>
      <c r="G71" s="37" t="s">
        <v>106</v>
      </c>
      <c r="H71" s="37" t="s">
        <v>104</v>
      </c>
      <c r="I71" s="37" t="s">
        <v>136</v>
      </c>
      <c r="J71" s="49">
        <f>5.04502+391.1</f>
        <v>396.14502000000005</v>
      </c>
      <c r="K71" s="49">
        <f>5.04502+391.1</f>
        <v>396.14502000000005</v>
      </c>
      <c r="L71" s="49">
        <f>5.04502+391.1</f>
        <v>396.14502000000005</v>
      </c>
      <c r="M71" s="49">
        <f>5.04502+391.068</f>
        <v>396.11302000000001</v>
      </c>
      <c r="N71" s="49">
        <f>5.04502+391.068</f>
        <v>396.11302000000001</v>
      </c>
      <c r="O71" s="49">
        <f>5.04502+391.068</f>
        <v>396.11302000000001</v>
      </c>
      <c r="P71" s="40">
        <f t="shared" ref="P71:P72" si="52">O71/L71*100</f>
        <v>99.991922150125717</v>
      </c>
      <c r="Q71" s="40">
        <f t="shared" ref="Q71:Q72" si="53">O71/M71*100</f>
        <v>100</v>
      </c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s="1" customFormat="1" ht="148.9" customHeight="1">
      <c r="A72" s="8"/>
      <c r="B72" s="8"/>
      <c r="C72" s="8"/>
      <c r="D72" s="8"/>
      <c r="E72" s="8"/>
      <c r="F72" s="17" t="s">
        <v>78</v>
      </c>
      <c r="G72" s="37" t="s">
        <v>106</v>
      </c>
      <c r="H72" s="37" t="s">
        <v>104</v>
      </c>
      <c r="I72" s="37" t="s">
        <v>136</v>
      </c>
      <c r="J72" s="49">
        <v>1031.6477600000001</v>
      </c>
      <c r="K72" s="49">
        <v>1031.6477600000001</v>
      </c>
      <c r="L72" s="49">
        <v>1031.6477600000001</v>
      </c>
      <c r="M72" s="49">
        <v>1031.6477600000001</v>
      </c>
      <c r="N72" s="49">
        <v>1031.6477600000001</v>
      </c>
      <c r="O72" s="49">
        <v>1031.6477600000001</v>
      </c>
      <c r="P72" s="40">
        <f t="shared" si="52"/>
        <v>100</v>
      </c>
      <c r="Q72" s="40">
        <f t="shared" si="53"/>
        <v>100</v>
      </c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42.6" customHeight="1">
      <c r="A73" s="8"/>
      <c r="B73" s="8"/>
      <c r="C73" s="8"/>
      <c r="D73" s="8"/>
      <c r="E73" s="8"/>
      <c r="F73" s="32" t="s">
        <v>9</v>
      </c>
      <c r="G73" s="32"/>
      <c r="H73" s="32"/>
      <c r="I73" s="32"/>
      <c r="J73" s="50">
        <f t="shared" ref="J73:O73" si="54">SUM(J74)</f>
        <v>299980.09999999998</v>
      </c>
      <c r="K73" s="50">
        <f t="shared" si="54"/>
        <v>299980.09999999998</v>
      </c>
      <c r="L73" s="50">
        <f t="shared" si="54"/>
        <v>299980.09999999998</v>
      </c>
      <c r="M73" s="50">
        <f t="shared" si="54"/>
        <v>12426.1698</v>
      </c>
      <c r="N73" s="50">
        <f t="shared" si="54"/>
        <v>12426.1698</v>
      </c>
      <c r="O73" s="50">
        <f t="shared" si="54"/>
        <v>12426.1698</v>
      </c>
      <c r="P73" s="46">
        <f t="shared" si="4"/>
        <v>4.1423313746478518</v>
      </c>
      <c r="Q73" s="46">
        <f t="shared" si="5"/>
        <v>100</v>
      </c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s="1" customFormat="1" ht="174" customHeight="1">
      <c r="A74" s="8">
        <v>1</v>
      </c>
      <c r="B74" s="8">
        <v>1</v>
      </c>
      <c r="C74" s="8">
        <v>1</v>
      </c>
      <c r="D74" s="8"/>
      <c r="E74" s="8"/>
      <c r="F74" s="17" t="s">
        <v>59</v>
      </c>
      <c r="G74" s="37" t="s">
        <v>137</v>
      </c>
      <c r="H74" s="37" t="s">
        <v>104</v>
      </c>
      <c r="I74" s="37" t="s">
        <v>136</v>
      </c>
      <c r="J74" s="19">
        <v>299980.09999999998</v>
      </c>
      <c r="K74" s="19">
        <v>299980.09999999998</v>
      </c>
      <c r="L74" s="19">
        <v>299980.09999999998</v>
      </c>
      <c r="M74" s="19">
        <f>12426.1698</f>
        <v>12426.1698</v>
      </c>
      <c r="N74" s="19">
        <f>12426.1698</f>
        <v>12426.1698</v>
      </c>
      <c r="O74" s="19">
        <f>12426.1698</f>
        <v>12426.1698</v>
      </c>
      <c r="P74" s="40">
        <f t="shared" si="4"/>
        <v>4.1423313746478518</v>
      </c>
      <c r="Q74" s="40">
        <f t="shared" si="5"/>
        <v>100</v>
      </c>
      <c r="R74"/>
      <c r="S74"/>
      <c r="T74"/>
      <c r="U74"/>
      <c r="V74"/>
      <c r="W74"/>
      <c r="X74"/>
      <c r="Y74"/>
      <c r="Z74"/>
      <c r="AA74"/>
    </row>
    <row r="75" spans="1:27" s="1" customFormat="1" ht="61.9" customHeight="1">
      <c r="A75" s="10"/>
      <c r="B75" s="10"/>
      <c r="C75" s="10"/>
      <c r="D75" s="10"/>
      <c r="E75" s="10"/>
      <c r="F75" s="32" t="s">
        <v>13</v>
      </c>
      <c r="G75" s="32"/>
      <c r="H75" s="32"/>
      <c r="I75" s="32"/>
      <c r="J75" s="51">
        <f t="shared" ref="J75" si="55">J76+J90</f>
        <v>54655.4</v>
      </c>
      <c r="K75" s="51">
        <f t="shared" ref="K75" si="56">K76+K90</f>
        <v>54655.4</v>
      </c>
      <c r="L75" s="51">
        <f t="shared" ref="L75:O75" si="57">L76+L90</f>
        <v>54655.4</v>
      </c>
      <c r="M75" s="51">
        <f t="shared" si="57"/>
        <v>51439.850350000008</v>
      </c>
      <c r="N75" s="51">
        <f t="shared" si="57"/>
        <v>51439.850350000008</v>
      </c>
      <c r="O75" s="51">
        <f t="shared" si="57"/>
        <v>51438.850350000008</v>
      </c>
      <c r="P75" s="46">
        <f t="shared" si="4"/>
        <v>94.114854799342808</v>
      </c>
      <c r="Q75" s="46">
        <f t="shared" si="5"/>
        <v>99.998055981902752</v>
      </c>
    </row>
    <row r="76" spans="1:27" s="1" customFormat="1" ht="45.6" customHeight="1">
      <c r="A76" s="10"/>
      <c r="B76" s="10"/>
      <c r="C76" s="10"/>
      <c r="D76" s="10"/>
      <c r="E76" s="10"/>
      <c r="F76" s="26" t="s">
        <v>80</v>
      </c>
      <c r="G76" s="26"/>
      <c r="H76" s="26"/>
      <c r="I76" s="26"/>
      <c r="J76" s="52">
        <f>J77+J79+J80+J81+J86+J87+J88+J89</f>
        <v>54655.4</v>
      </c>
      <c r="K76" s="52">
        <f>K77+K79+K80+K81+K86+K87+K88+K89</f>
        <v>54655.4</v>
      </c>
      <c r="L76" s="52">
        <f t="shared" ref="L76:O76" si="58">L77+L79+L80+L81+L86+L87+L88+L89</f>
        <v>54655.4</v>
      </c>
      <c r="M76" s="52">
        <f>M77+M79+M80+M81+M86+M87+M88+M89</f>
        <v>51439.850350000008</v>
      </c>
      <c r="N76" s="52">
        <f t="shared" si="58"/>
        <v>51439.850350000008</v>
      </c>
      <c r="O76" s="52">
        <f t="shared" si="58"/>
        <v>51438.850350000008</v>
      </c>
      <c r="P76" s="53">
        <f t="shared" ref="P76" si="59">O76/L76*100</f>
        <v>94.114854799342808</v>
      </c>
      <c r="Q76" s="53">
        <f t="shared" ref="Q76" si="60">O76/M76*100</f>
        <v>99.998055981902752</v>
      </c>
    </row>
    <row r="77" spans="1:27" s="1" customFormat="1" ht="150.6" customHeight="1">
      <c r="A77" s="8">
        <v>1</v>
      </c>
      <c r="B77" s="8">
        <v>1</v>
      </c>
      <c r="C77" s="8"/>
      <c r="D77" s="8"/>
      <c r="E77" s="8"/>
      <c r="F77" s="17" t="s">
        <v>65</v>
      </c>
      <c r="G77" s="37" t="s">
        <v>138</v>
      </c>
      <c r="H77" s="37" t="s">
        <v>139</v>
      </c>
      <c r="I77" s="37" t="s">
        <v>140</v>
      </c>
      <c r="J77" s="19">
        <v>21657.200000000001</v>
      </c>
      <c r="K77" s="19">
        <v>21657.200000000001</v>
      </c>
      <c r="L77" s="19">
        <v>21657.200000000001</v>
      </c>
      <c r="M77" s="19">
        <v>21657.200000000001</v>
      </c>
      <c r="N77" s="19">
        <v>21657.200000000001</v>
      </c>
      <c r="O77" s="19">
        <v>21657.200000000001</v>
      </c>
      <c r="P77" s="40">
        <f t="shared" si="4"/>
        <v>100</v>
      </c>
      <c r="Q77" s="40">
        <f t="shared" si="5"/>
        <v>100</v>
      </c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s="1" customFormat="1" ht="150" hidden="1">
      <c r="A78" s="8">
        <v>1</v>
      </c>
      <c r="B78" s="8">
        <v>1</v>
      </c>
      <c r="C78" s="8"/>
      <c r="D78" s="8"/>
      <c r="E78" s="8"/>
      <c r="F78" s="17" t="s">
        <v>42</v>
      </c>
      <c r="G78" s="37" t="s">
        <v>138</v>
      </c>
      <c r="H78" s="37" t="s">
        <v>139</v>
      </c>
      <c r="I78" s="37" t="s">
        <v>140</v>
      </c>
      <c r="J78" s="19"/>
      <c r="K78" s="19"/>
      <c r="L78" s="19"/>
      <c r="M78" s="19"/>
      <c r="N78" s="19"/>
      <c r="O78" s="19"/>
      <c r="P78" s="40"/>
      <c r="Q78" s="40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s="1" customFormat="1" ht="148.9" customHeight="1">
      <c r="A79" s="8">
        <v>1</v>
      </c>
      <c r="B79" s="8">
        <v>1</v>
      </c>
      <c r="C79" s="8">
        <v>1</v>
      </c>
      <c r="D79" s="8">
        <v>1</v>
      </c>
      <c r="E79" s="8"/>
      <c r="F79" s="17" t="s">
        <v>66</v>
      </c>
      <c r="G79" s="37" t="s">
        <v>138</v>
      </c>
      <c r="H79" s="37" t="s">
        <v>139</v>
      </c>
      <c r="I79" s="37" t="s">
        <v>140</v>
      </c>
      <c r="J79" s="19">
        <f>15000+6000+1700+1455.9</f>
        <v>24155.9</v>
      </c>
      <c r="K79" s="19">
        <f>15000+6000+1700+1455.9</f>
        <v>24155.9</v>
      </c>
      <c r="L79" s="19">
        <f>15000+6000+1700+1455.9</f>
        <v>24155.9</v>
      </c>
      <c r="M79" s="19">
        <f>15000+6000+1700+1455.9</f>
        <v>24155.9</v>
      </c>
      <c r="N79" s="19">
        <f t="shared" ref="N79:O79" si="61">15000+6000+1700+1455.9</f>
        <v>24155.9</v>
      </c>
      <c r="O79" s="19">
        <f t="shared" si="61"/>
        <v>24155.9</v>
      </c>
      <c r="P79" s="40">
        <f t="shared" si="4"/>
        <v>100</v>
      </c>
      <c r="Q79" s="40">
        <f t="shared" si="5"/>
        <v>100</v>
      </c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s="1" customFormat="1" ht="151.9" customHeight="1">
      <c r="A80" s="8">
        <v>1</v>
      </c>
      <c r="B80" s="8">
        <v>1</v>
      </c>
      <c r="C80" s="8"/>
      <c r="D80" s="8"/>
      <c r="E80" s="8"/>
      <c r="F80" s="17" t="s">
        <v>67</v>
      </c>
      <c r="G80" s="37" t="s">
        <v>138</v>
      </c>
      <c r="H80" s="37" t="s">
        <v>139</v>
      </c>
      <c r="I80" s="37" t="s">
        <v>140</v>
      </c>
      <c r="J80" s="19">
        <f>4647.4+169.5</f>
        <v>4816.8999999999996</v>
      </c>
      <c r="K80" s="19">
        <f>4647.4+169.5</f>
        <v>4816.8999999999996</v>
      </c>
      <c r="L80" s="19">
        <f>4647.4+169.5</f>
        <v>4816.8999999999996</v>
      </c>
      <c r="M80" s="19">
        <f>4647.4</f>
        <v>4647.3999999999996</v>
      </c>
      <c r="N80" s="19">
        <f>4647.4</f>
        <v>4647.3999999999996</v>
      </c>
      <c r="O80" s="19">
        <f>4647.4</f>
        <v>4647.3999999999996</v>
      </c>
      <c r="P80" s="40">
        <f t="shared" si="4"/>
        <v>96.481139321970559</v>
      </c>
      <c r="Q80" s="40">
        <f t="shared" si="5"/>
        <v>100</v>
      </c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s="1" customFormat="1" ht="150">
      <c r="A81" s="8">
        <v>1</v>
      </c>
      <c r="B81" s="8">
        <v>1</v>
      </c>
      <c r="C81" s="8"/>
      <c r="D81" s="8"/>
      <c r="E81" s="8"/>
      <c r="F81" s="17" t="s">
        <v>68</v>
      </c>
      <c r="G81" s="37" t="s">
        <v>138</v>
      </c>
      <c r="H81" s="37" t="s">
        <v>139</v>
      </c>
      <c r="I81" s="37" t="s">
        <v>140</v>
      </c>
      <c r="J81" s="19">
        <f>4362.9-1456.9</f>
        <v>2905.9999999999995</v>
      </c>
      <c r="K81" s="19">
        <f>4362.9-1456.9</f>
        <v>2905.9999999999995</v>
      </c>
      <c r="L81" s="19">
        <f>4362.9-1456.9</f>
        <v>2905.9999999999995</v>
      </c>
      <c r="M81" s="19">
        <f>437.68035</f>
        <v>437.68034999999998</v>
      </c>
      <c r="N81" s="19">
        <f>437.68035</f>
        <v>437.68034999999998</v>
      </c>
      <c r="O81" s="19">
        <f>437.68035</f>
        <v>437.68034999999998</v>
      </c>
      <c r="P81" s="40">
        <f t="shared" si="4"/>
        <v>15.061264624913973</v>
      </c>
      <c r="Q81" s="40">
        <f t="shared" si="5"/>
        <v>100</v>
      </c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s="1" customFormat="1" ht="150" hidden="1">
      <c r="A82" s="8">
        <v>1</v>
      </c>
      <c r="B82" s="8"/>
      <c r="C82" s="8"/>
      <c r="D82" s="8"/>
      <c r="E82" s="8"/>
      <c r="F82" s="17" t="s">
        <v>43</v>
      </c>
      <c r="G82" s="37" t="s">
        <v>138</v>
      </c>
      <c r="H82" s="37" t="s">
        <v>139</v>
      </c>
      <c r="I82" s="37" t="s">
        <v>140</v>
      </c>
      <c r="J82" s="19">
        <v>0</v>
      </c>
      <c r="K82" s="19">
        <v>0</v>
      </c>
      <c r="L82" s="19">
        <v>0</v>
      </c>
      <c r="M82" s="19"/>
      <c r="N82" s="19"/>
      <c r="O82" s="19"/>
      <c r="P82" s="40" t="e">
        <f t="shared" si="4"/>
        <v>#DIV/0!</v>
      </c>
      <c r="Q82" s="40" t="e">
        <f t="shared" si="5"/>
        <v>#DIV/0!</v>
      </c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s="1" customFormat="1" ht="96" hidden="1" customHeight="1">
      <c r="A83" s="8">
        <v>1</v>
      </c>
      <c r="B83" s="8"/>
      <c r="C83" s="8"/>
      <c r="D83" s="8"/>
      <c r="E83" s="8"/>
      <c r="F83" s="17" t="s">
        <v>44</v>
      </c>
      <c r="G83" s="37" t="s">
        <v>138</v>
      </c>
      <c r="H83" s="37" t="s">
        <v>139</v>
      </c>
      <c r="I83" s="37" t="s">
        <v>140</v>
      </c>
      <c r="J83" s="19">
        <v>0</v>
      </c>
      <c r="K83" s="19">
        <v>0</v>
      </c>
      <c r="L83" s="19">
        <v>0</v>
      </c>
      <c r="M83" s="19"/>
      <c r="N83" s="19"/>
      <c r="O83" s="19"/>
      <c r="P83" s="40" t="e">
        <f t="shared" si="4"/>
        <v>#DIV/0!</v>
      </c>
      <c r="Q83" s="40" t="e">
        <f t="shared" si="5"/>
        <v>#DIV/0!</v>
      </c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s="1" customFormat="1" ht="150" hidden="1">
      <c r="A84" s="8">
        <v>1</v>
      </c>
      <c r="B84" s="8"/>
      <c r="C84" s="8"/>
      <c r="D84" s="8"/>
      <c r="E84" s="8"/>
      <c r="F84" s="17" t="s">
        <v>45</v>
      </c>
      <c r="G84" s="37" t="s">
        <v>138</v>
      </c>
      <c r="H84" s="37" t="s">
        <v>139</v>
      </c>
      <c r="I84" s="37" t="s">
        <v>140</v>
      </c>
      <c r="J84" s="19">
        <v>0</v>
      </c>
      <c r="K84" s="19">
        <v>0</v>
      </c>
      <c r="L84" s="19">
        <v>0</v>
      </c>
      <c r="M84" s="19"/>
      <c r="N84" s="19"/>
      <c r="O84" s="19"/>
      <c r="P84" s="40" t="e">
        <f t="shared" si="4"/>
        <v>#DIV/0!</v>
      </c>
      <c r="Q84" s="40" t="e">
        <f t="shared" si="5"/>
        <v>#DIV/0!</v>
      </c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s="1" customFormat="1" ht="150" hidden="1">
      <c r="A85" s="8">
        <v>1</v>
      </c>
      <c r="B85" s="8">
        <v>1</v>
      </c>
      <c r="C85" s="8"/>
      <c r="D85" s="8"/>
      <c r="E85" s="8"/>
      <c r="F85" s="17" t="s">
        <v>64</v>
      </c>
      <c r="G85" s="37" t="s">
        <v>138</v>
      </c>
      <c r="H85" s="37" t="s">
        <v>139</v>
      </c>
      <c r="I85" s="37" t="s">
        <v>140</v>
      </c>
      <c r="J85" s="19"/>
      <c r="K85" s="19"/>
      <c r="L85" s="19"/>
      <c r="M85" s="19"/>
      <c r="N85" s="19"/>
      <c r="O85" s="19"/>
      <c r="P85" s="40"/>
      <c r="Q85" s="40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s="1" customFormat="1" ht="151.9" customHeight="1">
      <c r="A86" s="8">
        <v>1</v>
      </c>
      <c r="B86" s="8">
        <v>1</v>
      </c>
      <c r="C86" s="8"/>
      <c r="D86" s="8"/>
      <c r="E86" s="8"/>
      <c r="F86" s="17" t="s">
        <v>69</v>
      </c>
      <c r="G86" s="37" t="s">
        <v>138</v>
      </c>
      <c r="H86" s="37" t="s">
        <v>139</v>
      </c>
      <c r="I86" s="37" t="s">
        <v>140</v>
      </c>
      <c r="J86" s="19">
        <f>540.7+1+95</f>
        <v>636.70000000000005</v>
      </c>
      <c r="K86" s="19">
        <f>540.7+1+95</f>
        <v>636.70000000000005</v>
      </c>
      <c r="L86" s="19">
        <f>540.7+1+95</f>
        <v>636.70000000000005</v>
      </c>
      <c r="M86" s="19">
        <v>541.66999999999996</v>
      </c>
      <c r="N86" s="19">
        <v>541.66999999999996</v>
      </c>
      <c r="O86" s="19">
        <v>540.66999999999996</v>
      </c>
      <c r="P86" s="40">
        <f t="shared" si="4"/>
        <v>84.91754358410553</v>
      </c>
      <c r="Q86" s="40">
        <f t="shared" si="5"/>
        <v>99.815385751472292</v>
      </c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s="1" customFormat="1" ht="151.9" customHeight="1">
      <c r="A87" s="8"/>
      <c r="B87" s="8"/>
      <c r="C87" s="8"/>
      <c r="D87" s="8"/>
      <c r="E87" s="8"/>
      <c r="F87" s="17" t="s">
        <v>164</v>
      </c>
      <c r="G87" s="37" t="s">
        <v>138</v>
      </c>
      <c r="H87" s="37" t="s">
        <v>139</v>
      </c>
      <c r="I87" s="37" t="s">
        <v>140</v>
      </c>
      <c r="J87" s="19">
        <v>61.3</v>
      </c>
      <c r="K87" s="19">
        <v>61.3</v>
      </c>
      <c r="L87" s="19">
        <v>61.3</v>
      </c>
      <c r="M87" s="19"/>
      <c r="N87" s="19"/>
      <c r="O87" s="19"/>
      <c r="P87" s="40">
        <f t="shared" ref="P87" si="62">O87/L87*100</f>
        <v>0</v>
      </c>
      <c r="Q87" s="40">
        <v>0</v>
      </c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s="1" customFormat="1" ht="154.15" customHeight="1">
      <c r="A88" s="8"/>
      <c r="B88" s="8"/>
      <c r="C88" s="8"/>
      <c r="D88" s="8"/>
      <c r="E88" s="8"/>
      <c r="F88" s="37" t="s">
        <v>165</v>
      </c>
      <c r="G88" s="37" t="s">
        <v>138</v>
      </c>
      <c r="H88" s="37" t="s">
        <v>139</v>
      </c>
      <c r="I88" s="37" t="s">
        <v>140</v>
      </c>
      <c r="J88" s="19">
        <v>190.2</v>
      </c>
      <c r="K88" s="19">
        <v>190.2</v>
      </c>
      <c r="L88" s="19">
        <v>190.2</v>
      </c>
      <c r="M88" s="19"/>
      <c r="N88" s="19"/>
      <c r="O88" s="19"/>
      <c r="P88" s="40">
        <f t="shared" ref="P88:P89" si="63">O88/L88*100</f>
        <v>0</v>
      </c>
      <c r="Q88" s="40">
        <v>0</v>
      </c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s="1" customFormat="1" ht="150.6" customHeight="1">
      <c r="A89" s="8"/>
      <c r="B89" s="8"/>
      <c r="C89" s="8"/>
      <c r="D89" s="8"/>
      <c r="E89" s="8"/>
      <c r="F89" s="37" t="s">
        <v>166</v>
      </c>
      <c r="G89" s="37" t="s">
        <v>138</v>
      </c>
      <c r="H89" s="37" t="s">
        <v>139</v>
      </c>
      <c r="I89" s="37" t="s">
        <v>140</v>
      </c>
      <c r="J89" s="19">
        <v>231.2</v>
      </c>
      <c r="K89" s="19">
        <v>231.2</v>
      </c>
      <c r="L89" s="19">
        <v>231.2</v>
      </c>
      <c r="M89" s="19"/>
      <c r="N89" s="19"/>
      <c r="O89" s="19"/>
      <c r="P89" s="40">
        <f t="shared" si="63"/>
        <v>0</v>
      </c>
      <c r="Q89" s="40">
        <v>0</v>
      </c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s="1" customFormat="1" ht="37.5">
      <c r="A90" s="8"/>
      <c r="B90" s="8"/>
      <c r="C90" s="8"/>
      <c r="D90" s="8"/>
      <c r="E90" s="8"/>
      <c r="F90" s="26" t="s">
        <v>79</v>
      </c>
      <c r="G90" s="37"/>
      <c r="H90" s="37"/>
      <c r="I90" s="37"/>
      <c r="J90" s="27">
        <f t="shared" ref="J90:O90" si="64">J91</f>
        <v>0</v>
      </c>
      <c r="K90" s="27">
        <f t="shared" si="64"/>
        <v>0</v>
      </c>
      <c r="L90" s="27">
        <f t="shared" si="64"/>
        <v>0</v>
      </c>
      <c r="M90" s="27">
        <f t="shared" si="64"/>
        <v>0</v>
      </c>
      <c r="N90" s="27">
        <f t="shared" si="64"/>
        <v>0</v>
      </c>
      <c r="O90" s="27">
        <f t="shared" si="64"/>
        <v>0</v>
      </c>
      <c r="P90" s="53">
        <v>0</v>
      </c>
      <c r="Q90" s="53">
        <v>0</v>
      </c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s="1" customFormat="1" ht="75">
      <c r="A91" s="8"/>
      <c r="B91" s="8"/>
      <c r="C91" s="8"/>
      <c r="D91" s="8"/>
      <c r="E91" s="8"/>
      <c r="F91" s="17" t="s">
        <v>167</v>
      </c>
      <c r="G91" s="37" t="s">
        <v>139</v>
      </c>
      <c r="H91" s="37" t="s">
        <v>139</v>
      </c>
      <c r="I91" s="37" t="s">
        <v>141</v>
      </c>
      <c r="J91" s="19"/>
      <c r="K91" s="19"/>
      <c r="L91" s="19"/>
      <c r="M91" s="19"/>
      <c r="N91" s="19"/>
      <c r="O91" s="19"/>
      <c r="P91" s="40">
        <v>0</v>
      </c>
      <c r="Q91" s="40">
        <v>0</v>
      </c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58.15" customHeight="1">
      <c r="A92" s="8"/>
      <c r="B92" s="8"/>
      <c r="C92" s="8"/>
      <c r="D92" s="8"/>
      <c r="E92" s="8"/>
      <c r="F92" s="32" t="s">
        <v>14</v>
      </c>
      <c r="G92" s="38"/>
      <c r="H92" s="38"/>
      <c r="I92" s="38"/>
      <c r="J92" s="50">
        <f t="shared" ref="J92" si="65">SUM(J93:J102)</f>
        <v>131028</v>
      </c>
      <c r="K92" s="50">
        <f t="shared" ref="K92:O92" si="66">SUM(K93:K102)</f>
        <v>131028</v>
      </c>
      <c r="L92" s="50">
        <f t="shared" si="66"/>
        <v>131028</v>
      </c>
      <c r="M92" s="50">
        <f t="shared" si="66"/>
        <v>13000</v>
      </c>
      <c r="N92" s="50">
        <f t="shared" si="66"/>
        <v>13000</v>
      </c>
      <c r="O92" s="50">
        <f t="shared" si="66"/>
        <v>0</v>
      </c>
      <c r="P92" s="46">
        <f t="shared" si="4"/>
        <v>0</v>
      </c>
      <c r="Q92" s="46">
        <f t="shared" si="5"/>
        <v>0</v>
      </c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19.45" customHeight="1">
      <c r="A93" s="8">
        <v>1</v>
      </c>
      <c r="B93" s="8">
        <v>1</v>
      </c>
      <c r="C93" s="8"/>
      <c r="D93" s="8"/>
      <c r="E93" s="8">
        <v>1</v>
      </c>
      <c r="F93" s="17" t="s">
        <v>46</v>
      </c>
      <c r="G93" s="37" t="s">
        <v>142</v>
      </c>
      <c r="H93" s="37" t="s">
        <v>143</v>
      </c>
      <c r="I93" s="37" t="s">
        <v>108</v>
      </c>
      <c r="J93" s="19">
        <v>58200</v>
      </c>
      <c r="K93" s="19">
        <v>58200</v>
      </c>
      <c r="L93" s="19">
        <v>58200</v>
      </c>
      <c r="M93" s="19"/>
      <c r="N93" s="19"/>
      <c r="O93" s="19"/>
      <c r="P93" s="40">
        <f t="shared" si="4"/>
        <v>0</v>
      </c>
      <c r="Q93" s="40">
        <v>0</v>
      </c>
    </row>
    <row r="94" spans="1:27" ht="112.5">
      <c r="A94" s="8">
        <v>1</v>
      </c>
      <c r="B94" s="8">
        <v>1</v>
      </c>
      <c r="C94" s="8">
        <v>1</v>
      </c>
      <c r="D94" s="8"/>
      <c r="E94" s="8">
        <v>1</v>
      </c>
      <c r="F94" s="17" t="s">
        <v>47</v>
      </c>
      <c r="G94" s="37" t="s">
        <v>142</v>
      </c>
      <c r="H94" s="37" t="s">
        <v>143</v>
      </c>
      <c r="I94" s="37" t="s">
        <v>108</v>
      </c>
      <c r="J94" s="19">
        <v>20000</v>
      </c>
      <c r="K94" s="19">
        <v>20000</v>
      </c>
      <c r="L94" s="19">
        <v>20000</v>
      </c>
      <c r="M94" s="19">
        <v>13000</v>
      </c>
      <c r="N94" s="19">
        <v>13000</v>
      </c>
      <c r="O94" s="19">
        <v>0</v>
      </c>
      <c r="P94" s="40">
        <f t="shared" si="4"/>
        <v>0</v>
      </c>
      <c r="Q94" s="40">
        <f t="shared" si="5"/>
        <v>0</v>
      </c>
    </row>
    <row r="95" spans="1:27" s="5" customFormat="1" ht="112.5" hidden="1">
      <c r="A95" s="8">
        <v>1</v>
      </c>
      <c r="B95" s="8"/>
      <c r="C95" s="8"/>
      <c r="D95" s="8"/>
      <c r="E95" s="8"/>
      <c r="F95" s="17" t="s">
        <v>48</v>
      </c>
      <c r="G95" s="37" t="s">
        <v>142</v>
      </c>
      <c r="H95" s="37" t="s">
        <v>143</v>
      </c>
      <c r="I95" s="37" t="s">
        <v>108</v>
      </c>
      <c r="J95" s="19">
        <v>0</v>
      </c>
      <c r="K95" s="19">
        <v>0</v>
      </c>
      <c r="L95" s="19">
        <v>0</v>
      </c>
      <c r="M95" s="19"/>
      <c r="N95" s="19"/>
      <c r="O95" s="19"/>
      <c r="P95" s="40" t="e">
        <f t="shared" si="4"/>
        <v>#DIV/0!</v>
      </c>
      <c r="Q95" s="40" t="e">
        <f t="shared" si="5"/>
        <v>#DIV/0!</v>
      </c>
    </row>
    <row r="96" spans="1:27" s="5" customFormat="1" ht="112.5" hidden="1">
      <c r="A96" s="8">
        <v>1</v>
      </c>
      <c r="B96" s="8"/>
      <c r="C96" s="8"/>
      <c r="D96" s="8"/>
      <c r="E96" s="8"/>
      <c r="F96" s="17" t="s">
        <v>49</v>
      </c>
      <c r="G96" s="37" t="s">
        <v>142</v>
      </c>
      <c r="H96" s="37" t="s">
        <v>143</v>
      </c>
      <c r="I96" s="37" t="s">
        <v>130</v>
      </c>
      <c r="J96" s="19">
        <v>0</v>
      </c>
      <c r="K96" s="19">
        <v>0</v>
      </c>
      <c r="L96" s="19">
        <v>0</v>
      </c>
      <c r="M96" s="19"/>
      <c r="N96" s="19"/>
      <c r="O96" s="19"/>
      <c r="P96" s="40" t="e">
        <f t="shared" si="4"/>
        <v>#DIV/0!</v>
      </c>
      <c r="Q96" s="40" t="e">
        <f t="shared" si="5"/>
        <v>#DIV/0!</v>
      </c>
    </row>
    <row r="97" spans="1:27" ht="150">
      <c r="A97" s="8">
        <v>1</v>
      </c>
      <c r="B97" s="8">
        <v>1</v>
      </c>
      <c r="C97" s="8"/>
      <c r="D97" s="8">
        <v>1</v>
      </c>
      <c r="E97" s="8">
        <v>1</v>
      </c>
      <c r="F97" s="18" t="s">
        <v>81</v>
      </c>
      <c r="G97" s="37" t="s">
        <v>144</v>
      </c>
      <c r="H97" s="37" t="s">
        <v>143</v>
      </c>
      <c r="I97" s="37" t="s">
        <v>145</v>
      </c>
      <c r="J97" s="19">
        <v>50828</v>
      </c>
      <c r="K97" s="19">
        <v>50828</v>
      </c>
      <c r="L97" s="19">
        <v>50828</v>
      </c>
      <c r="M97" s="19"/>
      <c r="N97" s="19"/>
      <c r="O97" s="19"/>
      <c r="P97" s="40">
        <f t="shared" si="4"/>
        <v>0</v>
      </c>
      <c r="Q97" s="40">
        <v>0</v>
      </c>
    </row>
    <row r="98" spans="1:27" ht="150">
      <c r="A98" s="8">
        <v>1</v>
      </c>
      <c r="B98" s="8">
        <v>1</v>
      </c>
      <c r="C98" s="8"/>
      <c r="D98" s="8"/>
      <c r="E98" s="8">
        <v>1</v>
      </c>
      <c r="F98" s="17" t="s">
        <v>82</v>
      </c>
      <c r="G98" s="37" t="s">
        <v>144</v>
      </c>
      <c r="H98" s="37" t="s">
        <v>143</v>
      </c>
      <c r="I98" s="37" t="s">
        <v>136</v>
      </c>
      <c r="J98" s="19">
        <v>2000</v>
      </c>
      <c r="K98" s="19">
        <v>2000</v>
      </c>
      <c r="L98" s="19">
        <v>2000</v>
      </c>
      <c r="M98" s="19"/>
      <c r="N98" s="19"/>
      <c r="O98" s="19"/>
      <c r="P98" s="40">
        <f t="shared" si="4"/>
        <v>0</v>
      </c>
      <c r="Q98" s="40">
        <v>0</v>
      </c>
    </row>
    <row r="99" spans="1:27" ht="150.6" customHeight="1">
      <c r="A99" s="8">
        <v>1</v>
      </c>
      <c r="B99" s="8">
        <v>1</v>
      </c>
      <c r="C99" s="8">
        <v>1</v>
      </c>
      <c r="D99" s="8"/>
      <c r="E99" s="8">
        <v>1</v>
      </c>
      <c r="F99" s="17" t="s">
        <v>83</v>
      </c>
      <c r="G99" s="37" t="s">
        <v>144</v>
      </c>
      <c r="H99" s="37" t="s">
        <v>143</v>
      </c>
      <c r="I99" s="37" t="s">
        <v>146</v>
      </c>
      <c r="J99" s="39"/>
      <c r="K99" s="39"/>
      <c r="L99" s="39"/>
      <c r="M99" s="19"/>
      <c r="N99" s="19"/>
      <c r="O99" s="19"/>
      <c r="P99" s="40">
        <v>0</v>
      </c>
      <c r="Q99" s="40">
        <v>0</v>
      </c>
    </row>
    <row r="100" spans="1:27" s="5" customFormat="1" ht="112.5" hidden="1">
      <c r="A100" s="8">
        <v>1</v>
      </c>
      <c r="B100" s="8"/>
      <c r="C100" s="8"/>
      <c r="D100" s="8"/>
      <c r="E100" s="8"/>
      <c r="F100" s="17" t="s">
        <v>50</v>
      </c>
      <c r="G100" s="37" t="s">
        <v>142</v>
      </c>
      <c r="H100" s="37" t="s">
        <v>143</v>
      </c>
      <c r="I100" s="37" t="s">
        <v>145</v>
      </c>
      <c r="J100" s="19">
        <v>0</v>
      </c>
      <c r="K100" s="19">
        <v>0</v>
      </c>
      <c r="L100" s="19">
        <v>0</v>
      </c>
      <c r="M100" s="19"/>
      <c r="N100" s="19"/>
      <c r="O100" s="19"/>
      <c r="P100" s="40">
        <v>0</v>
      </c>
      <c r="Q100" s="40">
        <v>0</v>
      </c>
    </row>
    <row r="101" spans="1:27" s="5" customFormat="1" ht="150" hidden="1">
      <c r="A101" s="8">
        <v>1</v>
      </c>
      <c r="B101" s="8"/>
      <c r="C101" s="8"/>
      <c r="D101" s="8"/>
      <c r="E101" s="8"/>
      <c r="F101" s="17" t="s">
        <v>51</v>
      </c>
      <c r="G101" s="37" t="s">
        <v>144</v>
      </c>
      <c r="H101" s="37" t="s">
        <v>143</v>
      </c>
      <c r="I101" s="37" t="s">
        <v>146</v>
      </c>
      <c r="J101" s="19">
        <v>0</v>
      </c>
      <c r="K101" s="19">
        <v>0</v>
      </c>
      <c r="L101" s="19">
        <v>0</v>
      </c>
      <c r="M101" s="19"/>
      <c r="N101" s="19"/>
      <c r="O101" s="19"/>
      <c r="P101" s="40">
        <v>0</v>
      </c>
      <c r="Q101" s="40">
        <v>0</v>
      </c>
    </row>
    <row r="102" spans="1:27" ht="112.5">
      <c r="A102" s="8">
        <v>1</v>
      </c>
      <c r="B102" s="8">
        <v>1</v>
      </c>
      <c r="C102" s="8">
        <v>1</v>
      </c>
      <c r="D102" s="8"/>
      <c r="E102" s="8">
        <v>1</v>
      </c>
      <c r="F102" s="18" t="s">
        <v>84</v>
      </c>
      <c r="G102" s="37" t="s">
        <v>142</v>
      </c>
      <c r="H102" s="37" t="s">
        <v>143</v>
      </c>
      <c r="I102" s="37" t="s">
        <v>129</v>
      </c>
      <c r="J102" s="39"/>
      <c r="K102" s="39"/>
      <c r="L102" s="39"/>
      <c r="M102" s="39"/>
      <c r="N102" s="39"/>
      <c r="O102" s="39"/>
      <c r="P102" s="40">
        <v>0</v>
      </c>
      <c r="Q102" s="40">
        <v>0</v>
      </c>
    </row>
    <row r="103" spans="1:27" ht="116.45" customHeight="1">
      <c r="A103" s="8"/>
      <c r="B103" s="8"/>
      <c r="C103" s="8"/>
      <c r="D103" s="8"/>
      <c r="E103" s="8"/>
      <c r="F103" s="32" t="s">
        <v>15</v>
      </c>
      <c r="G103" s="38"/>
      <c r="H103" s="38"/>
      <c r="I103" s="38"/>
      <c r="J103" s="50">
        <f t="shared" ref="J103" si="67">SUM(J104:J111)</f>
        <v>116987.19678999999</v>
      </c>
      <c r="K103" s="50">
        <f t="shared" ref="K103:O103" si="68">SUM(K104:K111)</f>
        <v>116987.19678999999</v>
      </c>
      <c r="L103" s="50">
        <f t="shared" si="68"/>
        <v>116987.19678999999</v>
      </c>
      <c r="M103" s="50">
        <f t="shared" si="68"/>
        <v>24276.751510000002</v>
      </c>
      <c r="N103" s="50">
        <f t="shared" si="68"/>
        <v>24276.751510000002</v>
      </c>
      <c r="O103" s="50">
        <f t="shared" si="68"/>
        <v>24245.264810000001</v>
      </c>
      <c r="P103" s="46">
        <f t="shared" ref="P103:P116" si="69">O103/L103*100</f>
        <v>20.724716443562542</v>
      </c>
      <c r="Q103" s="46">
        <f t="shared" ref="Q103:Q113" si="70">O103/M103*100</f>
        <v>99.870301016233441</v>
      </c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98.45" customHeight="1">
      <c r="A104" s="8">
        <v>1</v>
      </c>
      <c r="B104" s="8">
        <v>1</v>
      </c>
      <c r="C104" s="8">
        <v>1</v>
      </c>
      <c r="D104" s="8"/>
      <c r="E104" s="8"/>
      <c r="F104" s="17" t="s">
        <v>52</v>
      </c>
      <c r="G104" s="17" t="s">
        <v>117</v>
      </c>
      <c r="H104" s="17" t="s">
        <v>104</v>
      </c>
      <c r="I104" s="54" t="s">
        <v>135</v>
      </c>
      <c r="J104" s="48">
        <v>14680.2</v>
      </c>
      <c r="K104" s="48">
        <v>14680.2</v>
      </c>
      <c r="L104" s="48">
        <v>14680.2</v>
      </c>
      <c r="M104" s="48">
        <f>1890.95449+3211.23462</f>
        <v>5102.1891100000003</v>
      </c>
      <c r="N104" s="48">
        <f>1890.95449+3211.23462</f>
        <v>5102.1891100000003</v>
      </c>
      <c r="O104" s="48">
        <f>1890.95449+3211.23462</f>
        <v>5102.1891100000003</v>
      </c>
      <c r="P104" s="40">
        <f t="shared" si="69"/>
        <v>34.755583098322909</v>
      </c>
      <c r="Q104" s="40">
        <f t="shared" si="70"/>
        <v>100</v>
      </c>
    </row>
    <row r="105" spans="1:27" s="5" customFormat="1" ht="93.75">
      <c r="A105" s="8">
        <v>1</v>
      </c>
      <c r="B105" s="8">
        <v>1</v>
      </c>
      <c r="C105" s="8">
        <v>1</v>
      </c>
      <c r="D105" s="8">
        <v>1</v>
      </c>
      <c r="E105" s="8">
        <v>1</v>
      </c>
      <c r="F105" s="17" t="s">
        <v>53</v>
      </c>
      <c r="G105" s="37" t="s">
        <v>147</v>
      </c>
      <c r="H105" s="37" t="s">
        <v>104</v>
      </c>
      <c r="I105" s="55" t="s">
        <v>135</v>
      </c>
      <c r="J105" s="48">
        <v>91959.4</v>
      </c>
      <c r="K105" s="48">
        <v>91959.4</v>
      </c>
      <c r="L105" s="48">
        <v>91959.4</v>
      </c>
      <c r="M105" s="48">
        <f>7500+2000+8125.45111</f>
        <v>17625.451110000002</v>
      </c>
      <c r="N105" s="48">
        <f>7500+2000+8125.45111</f>
        <v>17625.451110000002</v>
      </c>
      <c r="O105" s="48">
        <f>7500+2000+8125.45111</f>
        <v>17625.451110000002</v>
      </c>
      <c r="P105" s="40">
        <f t="shared" si="69"/>
        <v>19.16655731768585</v>
      </c>
      <c r="Q105" s="40">
        <f t="shared" si="70"/>
        <v>100</v>
      </c>
    </row>
    <row r="106" spans="1:27" ht="112.5">
      <c r="A106" s="8">
        <v>1</v>
      </c>
      <c r="B106" s="8">
        <v>1</v>
      </c>
      <c r="C106" s="8"/>
      <c r="D106" s="8"/>
      <c r="E106" s="8">
        <v>1</v>
      </c>
      <c r="F106" s="17" t="s">
        <v>54</v>
      </c>
      <c r="G106" s="37" t="s">
        <v>113</v>
      </c>
      <c r="H106" s="37" t="s">
        <v>104</v>
      </c>
      <c r="I106" s="37" t="s">
        <v>140</v>
      </c>
      <c r="J106" s="39"/>
      <c r="K106" s="39"/>
      <c r="L106" s="39"/>
      <c r="M106" s="39"/>
      <c r="N106" s="39"/>
      <c r="O106" s="39"/>
      <c r="P106" s="40">
        <v>0</v>
      </c>
      <c r="Q106" s="40">
        <v>0</v>
      </c>
    </row>
    <row r="107" spans="1:27" ht="157.15" customHeight="1">
      <c r="A107" s="8">
        <v>1</v>
      </c>
      <c r="B107" s="8">
        <v>1</v>
      </c>
      <c r="C107" s="8"/>
      <c r="D107" s="8">
        <v>1</v>
      </c>
      <c r="E107" s="8">
        <v>1</v>
      </c>
      <c r="F107" s="17" t="s">
        <v>168</v>
      </c>
      <c r="G107" s="17" t="s">
        <v>106</v>
      </c>
      <c r="H107" s="17" t="s">
        <v>104</v>
      </c>
      <c r="I107" s="54" t="s">
        <v>135</v>
      </c>
      <c r="J107" s="19">
        <v>931.74679000000003</v>
      </c>
      <c r="K107" s="19">
        <v>931.74679000000003</v>
      </c>
      <c r="L107" s="19">
        <v>931.74679000000003</v>
      </c>
      <c r="M107" s="19">
        <f>918.18259</f>
        <v>918.18259</v>
      </c>
      <c r="N107" s="19">
        <f t="shared" ref="N107:O107" si="71">918.18259</f>
        <v>918.18259</v>
      </c>
      <c r="O107" s="19">
        <f t="shared" si="71"/>
        <v>918.18259</v>
      </c>
      <c r="P107" s="40">
        <f t="shared" ref="P107" si="72">O107/L107*100</f>
        <v>98.544218220488844</v>
      </c>
      <c r="Q107" s="40">
        <f t="shared" ref="Q107" si="73">O107/M107*100</f>
        <v>100</v>
      </c>
    </row>
    <row r="108" spans="1:27" ht="93.75" hidden="1">
      <c r="A108" s="8">
        <v>1</v>
      </c>
      <c r="B108" s="8">
        <v>1</v>
      </c>
      <c r="C108" s="8"/>
      <c r="D108" s="8"/>
      <c r="E108" s="8">
        <v>1</v>
      </c>
      <c r="F108" s="17" t="s">
        <v>55</v>
      </c>
      <c r="G108" s="17" t="s">
        <v>117</v>
      </c>
      <c r="H108" s="17" t="s">
        <v>104</v>
      </c>
      <c r="I108" s="17" t="s">
        <v>140</v>
      </c>
      <c r="J108" s="39">
        <v>0</v>
      </c>
      <c r="K108" s="39">
        <v>0</v>
      </c>
      <c r="L108" s="39">
        <v>0</v>
      </c>
      <c r="M108" s="39"/>
      <c r="N108" s="39"/>
      <c r="O108" s="39"/>
      <c r="P108" s="40" t="e">
        <f t="shared" si="69"/>
        <v>#DIV/0!</v>
      </c>
      <c r="Q108" s="40" t="e">
        <f t="shared" si="70"/>
        <v>#DIV/0!</v>
      </c>
    </row>
    <row r="109" spans="1:27" s="5" customFormat="1" ht="149.44999999999999" customHeight="1">
      <c r="A109" s="8"/>
      <c r="B109" s="8"/>
      <c r="C109" s="8"/>
      <c r="D109" s="8"/>
      <c r="E109" s="8"/>
      <c r="F109" s="17" t="s">
        <v>169</v>
      </c>
      <c r="G109" s="17" t="s">
        <v>106</v>
      </c>
      <c r="H109" s="17" t="s">
        <v>104</v>
      </c>
      <c r="I109" s="17" t="s">
        <v>140</v>
      </c>
      <c r="J109" s="19">
        <v>8784.9500000000007</v>
      </c>
      <c r="K109" s="19">
        <v>8784.9500000000007</v>
      </c>
      <c r="L109" s="19">
        <v>8784.9500000000007</v>
      </c>
      <c r="M109" s="19"/>
      <c r="N109" s="19"/>
      <c r="O109" s="19"/>
      <c r="P109" s="40">
        <f t="shared" si="69"/>
        <v>0</v>
      </c>
      <c r="Q109" s="40">
        <v>0</v>
      </c>
    </row>
    <row r="110" spans="1:27" s="1" customFormat="1" ht="93.75">
      <c r="A110" s="8">
        <v>1</v>
      </c>
      <c r="B110" s="8">
        <v>1</v>
      </c>
      <c r="C110" s="8"/>
      <c r="D110" s="8"/>
      <c r="E110" s="8">
        <v>1</v>
      </c>
      <c r="F110" s="17" t="s">
        <v>85</v>
      </c>
      <c r="G110" s="37" t="s">
        <v>117</v>
      </c>
      <c r="H110" s="37" t="s">
        <v>104</v>
      </c>
      <c r="I110" s="37" t="s">
        <v>140</v>
      </c>
      <c r="J110" s="19"/>
      <c r="K110" s="19"/>
      <c r="L110" s="19"/>
      <c r="M110" s="19"/>
      <c r="N110" s="19"/>
      <c r="O110" s="19"/>
      <c r="P110" s="40">
        <v>0</v>
      </c>
      <c r="Q110" s="40">
        <v>0</v>
      </c>
      <c r="R110"/>
      <c r="S110"/>
      <c r="T110"/>
      <c r="U110"/>
      <c r="V110"/>
      <c r="W110"/>
      <c r="X110"/>
      <c r="Y110"/>
      <c r="Z110"/>
      <c r="AA110"/>
    </row>
    <row r="111" spans="1:27" s="1" customFormat="1" ht="159" customHeight="1">
      <c r="A111" s="8"/>
      <c r="B111" s="8"/>
      <c r="C111" s="8"/>
      <c r="D111" s="8"/>
      <c r="E111" s="8"/>
      <c r="F111" s="17" t="s">
        <v>170</v>
      </c>
      <c r="G111" s="17" t="s">
        <v>106</v>
      </c>
      <c r="H111" s="17" t="s">
        <v>104</v>
      </c>
      <c r="I111" s="54" t="s">
        <v>135</v>
      </c>
      <c r="J111" s="19">
        <v>630.9</v>
      </c>
      <c r="K111" s="19">
        <v>630.9</v>
      </c>
      <c r="L111" s="19">
        <v>630.9</v>
      </c>
      <c r="M111" s="19">
        <v>630.92870000000005</v>
      </c>
      <c r="N111" s="19">
        <v>630.92870000000005</v>
      </c>
      <c r="O111" s="19">
        <v>599.44200000000001</v>
      </c>
      <c r="P111" s="40">
        <f t="shared" ref="P111" si="74">O111/L111*100</f>
        <v>95.013789824060865</v>
      </c>
      <c r="Q111" s="40">
        <f t="shared" ref="Q111" si="75">O111/M111*100</f>
        <v>95.009467789308047</v>
      </c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60.6" customHeight="1">
      <c r="A112" s="8"/>
      <c r="B112" s="8"/>
      <c r="C112" s="8"/>
      <c r="D112" s="8"/>
      <c r="E112" s="8"/>
      <c r="F112" s="32" t="s">
        <v>16</v>
      </c>
      <c r="G112" s="32"/>
      <c r="H112" s="32"/>
      <c r="I112" s="32"/>
      <c r="J112" s="51">
        <f t="shared" ref="J112:O112" si="76">SUM(J113)</f>
        <v>710245.8</v>
      </c>
      <c r="K112" s="51">
        <f t="shared" si="76"/>
        <v>710245.8</v>
      </c>
      <c r="L112" s="51">
        <f t="shared" si="76"/>
        <v>710245.8</v>
      </c>
      <c r="M112" s="51">
        <f t="shared" si="76"/>
        <v>416153.45900000003</v>
      </c>
      <c r="N112" s="51">
        <f t="shared" si="76"/>
        <v>416153.45900000003</v>
      </c>
      <c r="O112" s="51">
        <f t="shared" si="76"/>
        <v>416153.45900000003</v>
      </c>
      <c r="P112" s="46">
        <f t="shared" si="69"/>
        <v>58.59287854993299</v>
      </c>
      <c r="Q112" s="46">
        <f t="shared" si="70"/>
        <v>100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s="4" customFormat="1" ht="165.6" customHeight="1">
      <c r="A113" s="9">
        <v>1</v>
      </c>
      <c r="B113" s="9">
        <v>1</v>
      </c>
      <c r="C113" s="9">
        <v>1</v>
      </c>
      <c r="D113" s="9"/>
      <c r="E113" s="9"/>
      <c r="F113" s="17" t="s">
        <v>56</v>
      </c>
      <c r="G113" s="17" t="s">
        <v>148</v>
      </c>
      <c r="H113" s="17" t="s">
        <v>149</v>
      </c>
      <c r="I113" s="17" t="s">
        <v>115</v>
      </c>
      <c r="J113" s="39">
        <v>710245.8</v>
      </c>
      <c r="K113" s="39">
        <v>710245.8</v>
      </c>
      <c r="L113" s="39">
        <v>710245.8</v>
      </c>
      <c r="M113" s="39">
        <f>156428.355+259725.104</f>
        <v>416153.45900000003</v>
      </c>
      <c r="N113" s="39">
        <f t="shared" ref="N113:O113" si="77">156428.355+259725.104</f>
        <v>416153.45900000003</v>
      </c>
      <c r="O113" s="39">
        <f t="shared" si="77"/>
        <v>416153.45900000003</v>
      </c>
      <c r="P113" s="40">
        <f t="shared" si="69"/>
        <v>58.59287854993299</v>
      </c>
      <c r="Q113" s="40">
        <f t="shared" si="70"/>
        <v>100</v>
      </c>
    </row>
    <row r="114" spans="1:27" ht="144" customHeight="1">
      <c r="A114" s="8"/>
      <c r="B114" s="8"/>
      <c r="C114" s="8"/>
      <c r="D114" s="8"/>
      <c r="E114" s="8"/>
      <c r="F114" s="32" t="s">
        <v>17</v>
      </c>
      <c r="G114" s="32"/>
      <c r="H114" s="32"/>
      <c r="I114" s="32"/>
      <c r="J114" s="51">
        <f t="shared" ref="J114" si="78">SUM(J115:J116)</f>
        <v>2298.6999999999998</v>
      </c>
      <c r="K114" s="51">
        <f t="shared" ref="K114:O114" si="79">SUM(K115:K116)</f>
        <v>2298.6999999999998</v>
      </c>
      <c r="L114" s="51">
        <f t="shared" si="79"/>
        <v>2298.6999999999998</v>
      </c>
      <c r="M114" s="51">
        <f t="shared" si="79"/>
        <v>0</v>
      </c>
      <c r="N114" s="51">
        <f t="shared" si="79"/>
        <v>0</v>
      </c>
      <c r="O114" s="51">
        <f t="shared" si="79"/>
        <v>0</v>
      </c>
      <c r="P114" s="46">
        <f t="shared" si="69"/>
        <v>0</v>
      </c>
      <c r="Q114" s="46">
        <v>0</v>
      </c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93.75">
      <c r="A115" s="8">
        <v>1</v>
      </c>
      <c r="B115" s="8">
        <v>1</v>
      </c>
      <c r="C115" s="8">
        <v>1</v>
      </c>
      <c r="D115" s="8">
        <v>1</v>
      </c>
      <c r="E115" s="8">
        <v>1</v>
      </c>
      <c r="F115" s="17" t="s">
        <v>57</v>
      </c>
      <c r="G115" s="17" t="s">
        <v>150</v>
      </c>
      <c r="H115" s="78" t="s">
        <v>104</v>
      </c>
      <c r="I115" s="78" t="s">
        <v>115</v>
      </c>
      <c r="J115" s="19">
        <v>1149.4000000000001</v>
      </c>
      <c r="K115" s="19">
        <v>1149.4000000000001</v>
      </c>
      <c r="L115" s="19">
        <v>1149.4000000000001</v>
      </c>
      <c r="M115" s="19"/>
      <c r="N115" s="19"/>
      <c r="O115" s="19"/>
      <c r="P115" s="40">
        <f t="shared" si="69"/>
        <v>0</v>
      </c>
      <c r="Q115" s="40">
        <v>0</v>
      </c>
    </row>
    <row r="116" spans="1:27" s="1" customFormat="1" ht="93" customHeight="1">
      <c r="A116" s="8">
        <v>1</v>
      </c>
      <c r="B116" s="8">
        <v>1</v>
      </c>
      <c r="C116" s="8">
        <v>1</v>
      </c>
      <c r="D116" s="8">
        <v>1</v>
      </c>
      <c r="E116" s="8">
        <v>1</v>
      </c>
      <c r="F116" s="17" t="s">
        <v>58</v>
      </c>
      <c r="G116" s="17" t="s">
        <v>150</v>
      </c>
      <c r="H116" s="78" t="s">
        <v>104</v>
      </c>
      <c r="I116" s="17" t="s">
        <v>140</v>
      </c>
      <c r="J116" s="19">
        <v>1149.3</v>
      </c>
      <c r="K116" s="19">
        <v>1149.3</v>
      </c>
      <c r="L116" s="19">
        <v>1149.3</v>
      </c>
      <c r="M116" s="19"/>
      <c r="N116" s="19"/>
      <c r="O116" s="19"/>
      <c r="P116" s="40">
        <f t="shared" si="69"/>
        <v>0</v>
      </c>
      <c r="Q116" s="40">
        <v>0</v>
      </c>
      <c r="R116"/>
      <c r="S116"/>
      <c r="T116"/>
      <c r="U116"/>
      <c r="V116"/>
      <c r="W116"/>
      <c r="X116"/>
      <c r="Y116"/>
      <c r="Z116"/>
      <c r="AA116"/>
    </row>
    <row r="117" spans="1:27" ht="112.5" customHeight="1">
      <c r="F117" s="32" t="s">
        <v>86</v>
      </c>
      <c r="G117" s="32"/>
      <c r="H117" s="32"/>
      <c r="I117" s="32"/>
      <c r="J117" s="80">
        <f>SUM(J118:J119)</f>
        <v>1531.2508600000001</v>
      </c>
      <c r="K117" s="80">
        <f>SUM(K118:K119)</f>
        <v>1531.2508600000001</v>
      </c>
      <c r="L117" s="80">
        <f>SUM(L118:L119)</f>
        <v>1531.2508600000001</v>
      </c>
      <c r="M117" s="80">
        <f t="shared" ref="M117:O117" si="80">SUM(M118:M119)</f>
        <v>1531.2508600000001</v>
      </c>
      <c r="N117" s="80">
        <f t="shared" si="80"/>
        <v>1531.2508600000001</v>
      </c>
      <c r="O117" s="80">
        <f t="shared" si="80"/>
        <v>1531.2508600000001</v>
      </c>
      <c r="P117" s="46">
        <f t="shared" ref="P117:P119" si="81">O117/L117*100</f>
        <v>100</v>
      </c>
      <c r="Q117" s="46">
        <f t="shared" ref="Q117:Q119" si="82">O117/M117*100</f>
        <v>100</v>
      </c>
    </row>
    <row r="118" spans="1:27" ht="151.15" customHeight="1">
      <c r="F118" s="74" t="s">
        <v>87</v>
      </c>
      <c r="G118" s="17" t="s">
        <v>106</v>
      </c>
      <c r="H118" s="17" t="s">
        <v>104</v>
      </c>
      <c r="I118" s="17" t="s">
        <v>151</v>
      </c>
      <c r="J118" s="69">
        <v>1336.3702000000001</v>
      </c>
      <c r="K118" s="69">
        <v>1336.3702000000001</v>
      </c>
      <c r="L118" s="69">
        <v>1336.3702000000001</v>
      </c>
      <c r="M118" s="69">
        <v>1336.3702000000001</v>
      </c>
      <c r="N118" s="69">
        <v>1336.3702000000001</v>
      </c>
      <c r="O118" s="69">
        <v>1336.3702000000001</v>
      </c>
      <c r="P118" s="40">
        <f t="shared" si="81"/>
        <v>100</v>
      </c>
      <c r="Q118" s="40">
        <f t="shared" si="82"/>
        <v>100</v>
      </c>
    </row>
    <row r="119" spans="1:27" ht="175.5" customHeight="1">
      <c r="F119" s="17" t="s">
        <v>88</v>
      </c>
      <c r="G119" s="17" t="s">
        <v>106</v>
      </c>
      <c r="H119" s="17" t="s">
        <v>104</v>
      </c>
      <c r="I119" s="17" t="s">
        <v>151</v>
      </c>
      <c r="J119" s="69">
        <v>194.88066000000001</v>
      </c>
      <c r="K119" s="69">
        <v>194.88066000000001</v>
      </c>
      <c r="L119" s="69">
        <v>194.88066000000001</v>
      </c>
      <c r="M119" s="69">
        <v>194.88066000000001</v>
      </c>
      <c r="N119" s="69">
        <v>194.88066000000001</v>
      </c>
      <c r="O119" s="69">
        <v>194.88066000000001</v>
      </c>
      <c r="P119" s="40">
        <f t="shared" si="81"/>
        <v>100</v>
      </c>
      <c r="Q119" s="40">
        <f t="shared" si="82"/>
        <v>100</v>
      </c>
    </row>
    <row r="120" spans="1:27" s="5" customFormat="1" ht="85.9" customHeight="1">
      <c r="A120" s="6"/>
      <c r="B120" s="6"/>
      <c r="C120" s="6"/>
      <c r="D120" s="6"/>
      <c r="E120" s="6"/>
      <c r="F120" s="32" t="s">
        <v>101</v>
      </c>
      <c r="G120" s="32"/>
      <c r="H120" s="32"/>
      <c r="I120" s="32"/>
      <c r="J120" s="34">
        <f>J121</f>
        <v>2112.8000000000002</v>
      </c>
      <c r="K120" s="34">
        <f>K121</f>
        <v>2112.8000000000002</v>
      </c>
      <c r="L120" s="34">
        <f>L121</f>
        <v>2112.8000000000002</v>
      </c>
      <c r="M120" s="34">
        <f t="shared" ref="M120:O120" si="83">M121</f>
        <v>0</v>
      </c>
      <c r="N120" s="34">
        <f t="shared" si="83"/>
        <v>0</v>
      </c>
      <c r="O120" s="34">
        <f t="shared" si="83"/>
        <v>0</v>
      </c>
      <c r="P120" s="46">
        <f t="shared" ref="P120:P121" si="84">O120/L120*100</f>
        <v>0</v>
      </c>
      <c r="Q120" s="46">
        <v>0</v>
      </c>
    </row>
    <row r="121" spans="1:27" s="5" customFormat="1" ht="177" customHeight="1">
      <c r="A121" s="6"/>
      <c r="B121" s="6"/>
      <c r="C121" s="6"/>
      <c r="D121" s="6"/>
      <c r="E121" s="6"/>
      <c r="F121" s="17" t="s">
        <v>102</v>
      </c>
      <c r="G121" s="17" t="s">
        <v>152</v>
      </c>
      <c r="H121" s="17" t="s">
        <v>153</v>
      </c>
      <c r="I121" s="17" t="s">
        <v>108</v>
      </c>
      <c r="J121" s="69">
        <v>2112.8000000000002</v>
      </c>
      <c r="K121" s="69">
        <v>2112.8000000000002</v>
      </c>
      <c r="L121" s="69">
        <v>2112.8000000000002</v>
      </c>
      <c r="M121" s="69"/>
      <c r="N121" s="69"/>
      <c r="O121" s="69"/>
      <c r="P121" s="40">
        <f t="shared" si="84"/>
        <v>0</v>
      </c>
      <c r="Q121" s="40">
        <v>0</v>
      </c>
    </row>
    <row r="122" spans="1:27" ht="65.45" customHeight="1">
      <c r="F122" s="83" t="s">
        <v>89</v>
      </c>
      <c r="G122" s="84"/>
      <c r="H122" s="84"/>
      <c r="I122" s="84"/>
      <c r="J122" s="84"/>
      <c r="K122" s="85"/>
      <c r="L122" s="85"/>
      <c r="M122" s="86"/>
      <c r="N122" s="86"/>
      <c r="O122" s="86"/>
      <c r="P122" s="86"/>
      <c r="Q122" s="87"/>
    </row>
    <row r="123" spans="1:27" s="5" customFormat="1" ht="45" customHeight="1">
      <c r="A123" s="6"/>
      <c r="B123" s="6"/>
      <c r="C123" s="6"/>
      <c r="D123" s="6"/>
      <c r="E123" s="6"/>
      <c r="F123" s="32" t="s">
        <v>90</v>
      </c>
      <c r="G123" s="56"/>
      <c r="H123" s="56"/>
      <c r="I123" s="57"/>
      <c r="J123" s="58">
        <f>J124+J125</f>
        <v>25508.5</v>
      </c>
      <c r="K123" s="58">
        <f>K124+K125</f>
        <v>25508.5</v>
      </c>
      <c r="L123" s="58">
        <f>L124+L125</f>
        <v>25508.5</v>
      </c>
      <c r="M123" s="58">
        <f t="shared" ref="M123:O123" si="85">M124+M125</f>
        <v>23844.510500000004</v>
      </c>
      <c r="N123" s="58">
        <f t="shared" si="85"/>
        <v>23844.510500000004</v>
      </c>
      <c r="O123" s="58">
        <f t="shared" si="85"/>
        <v>23844.5098</v>
      </c>
      <c r="P123" s="46">
        <f t="shared" ref="P123:P127" si="86">O123/L123*100</f>
        <v>93.476722661073765</v>
      </c>
      <c r="Q123" s="46">
        <f t="shared" ref="Q123:Q127" si="87">O123/M123*100</f>
        <v>99.999997064313789</v>
      </c>
    </row>
    <row r="124" spans="1:27" s="5" customFormat="1" ht="93.6" customHeight="1">
      <c r="A124" s="6"/>
      <c r="B124" s="6"/>
      <c r="C124" s="6"/>
      <c r="D124" s="6"/>
      <c r="E124" s="6"/>
      <c r="F124" s="17" t="s">
        <v>91</v>
      </c>
      <c r="G124" s="37" t="s">
        <v>103</v>
      </c>
      <c r="H124" s="37" t="s">
        <v>104</v>
      </c>
      <c r="I124" s="37" t="s">
        <v>124</v>
      </c>
      <c r="J124" s="59">
        <v>1901.9</v>
      </c>
      <c r="K124" s="59">
        <v>1901.9</v>
      </c>
      <c r="L124" s="59">
        <v>1901.9</v>
      </c>
      <c r="M124" s="60">
        <f>432.6798+1012.606</f>
        <v>1445.2858000000001</v>
      </c>
      <c r="N124" s="60">
        <f>432.6798+1012.606</f>
        <v>1445.2858000000001</v>
      </c>
      <c r="O124" s="60">
        <f>432.6798+1012.606</f>
        <v>1445.2858000000001</v>
      </c>
      <c r="P124" s="40">
        <f t="shared" si="86"/>
        <v>75.991682002208321</v>
      </c>
      <c r="Q124" s="40">
        <f t="shared" si="87"/>
        <v>100</v>
      </c>
    </row>
    <row r="125" spans="1:27" s="5" customFormat="1" ht="97.15" customHeight="1">
      <c r="A125" s="6"/>
      <c r="B125" s="6"/>
      <c r="C125" s="6"/>
      <c r="D125" s="6"/>
      <c r="E125" s="6"/>
      <c r="F125" s="17" t="s">
        <v>92</v>
      </c>
      <c r="G125" s="37" t="s">
        <v>105</v>
      </c>
      <c r="H125" s="37" t="s">
        <v>104</v>
      </c>
      <c r="I125" s="37" t="s">
        <v>124</v>
      </c>
      <c r="J125" s="59">
        <v>23606.6</v>
      </c>
      <c r="K125" s="59">
        <v>23606.6</v>
      </c>
      <c r="L125" s="59">
        <v>23606.6</v>
      </c>
      <c r="M125" s="81">
        <f>15053.26473+5555.492+1790.46797</f>
        <v>22399.224700000002</v>
      </c>
      <c r="N125" s="81">
        <f>15053.26473+5555.492+1790.46797</f>
        <v>22399.224700000002</v>
      </c>
      <c r="O125" s="81">
        <v>22399.223999999998</v>
      </c>
      <c r="P125" s="40">
        <f t="shared" si="86"/>
        <v>94.885430345750763</v>
      </c>
      <c r="Q125" s="40">
        <f t="shared" si="87"/>
        <v>99.999996874891821</v>
      </c>
    </row>
    <row r="126" spans="1:27" s="5" customFormat="1" ht="64.900000000000006" customHeight="1">
      <c r="A126" s="6"/>
      <c r="B126" s="6"/>
      <c r="C126" s="6"/>
      <c r="D126" s="6"/>
      <c r="E126" s="6"/>
      <c r="F126" s="61" t="s">
        <v>93</v>
      </c>
      <c r="G126" s="38"/>
      <c r="H126" s="38"/>
      <c r="I126" s="57"/>
      <c r="J126" s="62">
        <f>J127</f>
        <v>207.3</v>
      </c>
      <c r="K126" s="62">
        <f>K127</f>
        <v>207.3</v>
      </c>
      <c r="L126" s="62">
        <f>L127</f>
        <v>207.3</v>
      </c>
      <c r="M126" s="62">
        <f t="shared" ref="M126:O126" si="88">M127</f>
        <v>207.3</v>
      </c>
      <c r="N126" s="62">
        <f t="shared" si="88"/>
        <v>207.3</v>
      </c>
      <c r="O126" s="62">
        <f t="shared" si="88"/>
        <v>207.3</v>
      </c>
      <c r="P126" s="46">
        <f t="shared" si="86"/>
        <v>100</v>
      </c>
      <c r="Q126" s="46">
        <f t="shared" si="87"/>
        <v>100</v>
      </c>
    </row>
    <row r="127" spans="1:27" s="5" customFormat="1" ht="165.75" customHeight="1">
      <c r="A127" s="6"/>
      <c r="B127" s="6"/>
      <c r="C127" s="6"/>
      <c r="D127" s="6"/>
      <c r="E127" s="6"/>
      <c r="F127" s="17" t="s">
        <v>94</v>
      </c>
      <c r="G127" s="17" t="s">
        <v>106</v>
      </c>
      <c r="H127" s="17" t="s">
        <v>104</v>
      </c>
      <c r="I127" s="17" t="s">
        <v>136</v>
      </c>
      <c r="J127" s="59">
        <v>207.3</v>
      </c>
      <c r="K127" s="59">
        <v>207.3</v>
      </c>
      <c r="L127" s="59">
        <v>207.3</v>
      </c>
      <c r="M127" s="59">
        <v>207.3</v>
      </c>
      <c r="N127" s="59">
        <v>207.3</v>
      </c>
      <c r="O127" s="59">
        <v>207.3</v>
      </c>
      <c r="P127" s="40">
        <f t="shared" si="86"/>
        <v>100</v>
      </c>
      <c r="Q127" s="40">
        <f t="shared" si="87"/>
        <v>100</v>
      </c>
    </row>
  </sheetData>
  <mergeCells count="20">
    <mergeCell ref="A4:A5"/>
    <mergeCell ref="B4:B5"/>
    <mergeCell ref="C4:C5"/>
    <mergeCell ref="D4:D5"/>
    <mergeCell ref="E4:E5"/>
    <mergeCell ref="F122:Q122"/>
    <mergeCell ref="P4:Q4"/>
    <mergeCell ref="F1:Q1"/>
    <mergeCell ref="P3:Q3"/>
    <mergeCell ref="L4:L5"/>
    <mergeCell ref="M4:M5"/>
    <mergeCell ref="N4:N5"/>
    <mergeCell ref="O4:O5"/>
    <mergeCell ref="F4:F5"/>
    <mergeCell ref="K4:K5"/>
    <mergeCell ref="H4:H5"/>
    <mergeCell ref="I4:I5"/>
    <mergeCell ref="G4:G5"/>
    <mergeCell ref="F2:Q2"/>
    <mergeCell ref="J4:J5"/>
  </mergeCells>
  <pageMargins left="0.78740157480314965" right="0.19685039370078741" top="0.55118110236220474" bottom="0.55118110236220474" header="0.31496062992125984" footer="0.31496062992125984"/>
  <pageSetup paperSize="9" scale="48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Хабаров Михаил Викторович</dc:creator>
  <cp:lastModifiedBy>Pavlenko</cp:lastModifiedBy>
  <cp:lastPrinted>2015-10-21T12:18:57Z</cp:lastPrinted>
  <dcterms:created xsi:type="dcterms:W3CDTF">2014-01-29T06:46:20Z</dcterms:created>
  <dcterms:modified xsi:type="dcterms:W3CDTF">2015-10-21T12:19:30Z</dcterms:modified>
</cp:coreProperties>
</file>