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75" windowWidth="15180" windowHeight="9210"/>
  </bookViews>
  <sheets>
    <sheet name="Лист1" sheetId="1" r:id="rId1"/>
  </sheets>
  <definedNames>
    <definedName name="_xlnm.Print_Area" localSheetId="0">Лист1!$A$1:$AI$33</definedName>
  </definedNames>
  <calcPr calcId="124519"/>
</workbook>
</file>

<file path=xl/calcChain.xml><?xml version="1.0" encoding="utf-8"?>
<calcChain xmlns="http://schemas.openxmlformats.org/spreadsheetml/2006/main">
  <c r="AI25" i="1"/>
  <c r="AH31"/>
  <c r="AI31" s="1"/>
  <c r="AH30"/>
  <c r="AH29"/>
  <c r="AH28"/>
  <c r="AI28" s="1"/>
  <c r="AH27"/>
  <c r="AI27" s="1"/>
  <c r="AH26"/>
  <c r="AI26" s="1"/>
  <c r="AH25"/>
  <c r="AH24"/>
  <c r="AI24" s="1"/>
  <c r="AH23"/>
  <c r="AI23" s="1"/>
  <c r="AH22"/>
  <c r="AH21"/>
  <c r="AH20"/>
  <c r="AI20" s="1"/>
  <c r="AH19"/>
  <c r="AI19" s="1"/>
  <c r="AH18"/>
  <c r="AI18" s="1"/>
  <c r="AH17"/>
  <c r="AI17" s="1"/>
  <c r="AH16"/>
  <c r="AI16" s="1"/>
  <c r="AH15"/>
  <c r="AI15" s="1"/>
  <c r="AH14"/>
  <c r="AH13"/>
  <c r="AH12"/>
  <c r="AI12" s="1"/>
  <c r="AH11"/>
  <c r="AI11" s="1"/>
  <c r="AH10"/>
  <c r="AI10" s="1"/>
  <c r="AH9"/>
  <c r="AI9" s="1"/>
  <c r="AH8"/>
  <c r="AI8" s="1"/>
  <c r="AH7"/>
  <c r="AI7" s="1"/>
  <c r="AH6"/>
  <c r="AI6" s="1"/>
  <c r="AI30"/>
  <c r="AI29"/>
  <c r="AI22"/>
  <c r="AI21"/>
  <c r="AI14"/>
  <c r="AI13"/>
  <c r="AG25"/>
  <c r="AG31"/>
  <c r="AG30"/>
  <c r="AG29"/>
  <c r="AG28"/>
  <c r="AG27"/>
  <c r="AG26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M26" l="1"/>
  <c r="M27"/>
  <c r="M28"/>
  <c r="M29"/>
  <c r="M30"/>
  <c r="M31"/>
  <c r="M25"/>
  <c r="Q27" l="1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N6"/>
  <c r="H6"/>
  <c r="I6"/>
  <c r="J6"/>
  <c r="J33" s="1"/>
  <c r="N7"/>
  <c r="H7"/>
  <c r="O7" s="1"/>
  <c r="W7" s="1"/>
  <c r="I7"/>
  <c r="J7"/>
  <c r="N8"/>
  <c r="H8"/>
  <c r="I8"/>
  <c r="I33" s="1"/>
  <c r="J8"/>
  <c r="N9"/>
  <c r="H9"/>
  <c r="O9" s="1"/>
  <c r="I9"/>
  <c r="J9"/>
  <c r="N10"/>
  <c r="H10"/>
  <c r="I10"/>
  <c r="J10"/>
  <c r="N11"/>
  <c r="H11"/>
  <c r="O11" s="1"/>
  <c r="I11"/>
  <c r="J11"/>
  <c r="N12"/>
  <c r="H12"/>
  <c r="I12"/>
  <c r="G12" s="1"/>
  <c r="J12"/>
  <c r="N13"/>
  <c r="H13"/>
  <c r="O13" s="1"/>
  <c r="I13"/>
  <c r="J13"/>
  <c r="N14"/>
  <c r="H14"/>
  <c r="I14"/>
  <c r="G14" s="1"/>
  <c r="J14"/>
  <c r="N15"/>
  <c r="H15"/>
  <c r="O15" s="1"/>
  <c r="I15"/>
  <c r="J15"/>
  <c r="N16"/>
  <c r="H16"/>
  <c r="I16"/>
  <c r="G16" s="1"/>
  <c r="J16"/>
  <c r="N17"/>
  <c r="W17" s="1"/>
  <c r="H17"/>
  <c r="O17" s="1"/>
  <c r="I17"/>
  <c r="J17"/>
  <c r="N18"/>
  <c r="H18"/>
  <c r="I18"/>
  <c r="J18"/>
  <c r="N19"/>
  <c r="H19"/>
  <c r="O19" s="1"/>
  <c r="I19"/>
  <c r="J19"/>
  <c r="N20"/>
  <c r="H20"/>
  <c r="I20"/>
  <c r="G20" s="1"/>
  <c r="J20"/>
  <c r="N21"/>
  <c r="H21"/>
  <c r="O21" s="1"/>
  <c r="I21"/>
  <c r="J21"/>
  <c r="N22"/>
  <c r="H22"/>
  <c r="O22" s="1"/>
  <c r="W22" s="1"/>
  <c r="I22"/>
  <c r="J22"/>
  <c r="N23"/>
  <c r="H23"/>
  <c r="O23" s="1"/>
  <c r="I23"/>
  <c r="J23"/>
  <c r="N24"/>
  <c r="H24"/>
  <c r="O24" s="1"/>
  <c r="W24" s="1"/>
  <c r="I24"/>
  <c r="J24"/>
  <c r="N25"/>
  <c r="H25"/>
  <c r="O25" s="1"/>
  <c r="I25"/>
  <c r="J25"/>
  <c r="N26"/>
  <c r="H26"/>
  <c r="O26" s="1"/>
  <c r="W26" s="1"/>
  <c r="I26"/>
  <c r="J26"/>
  <c r="N27"/>
  <c r="W27" s="1"/>
  <c r="H27"/>
  <c r="O27" s="1"/>
  <c r="I27"/>
  <c r="J27"/>
  <c r="N28"/>
  <c r="H28"/>
  <c r="O28" s="1"/>
  <c r="P28" s="1"/>
  <c r="I28"/>
  <c r="J28"/>
  <c r="N29"/>
  <c r="P29" s="1"/>
  <c r="H29"/>
  <c r="O29" s="1"/>
  <c r="I29"/>
  <c r="J29"/>
  <c r="N30"/>
  <c r="T30" s="1"/>
  <c r="H30"/>
  <c r="O30" s="1"/>
  <c r="W30" s="1"/>
  <c r="I30"/>
  <c r="J30"/>
  <c r="N31"/>
  <c r="I31"/>
  <c r="O31" s="1"/>
  <c r="J31"/>
  <c r="U33"/>
  <c r="U38" s="1"/>
  <c r="T25"/>
  <c r="T27"/>
  <c r="S33"/>
  <c r="S38" s="1"/>
  <c r="V8"/>
  <c r="V16"/>
  <c r="V20"/>
  <c r="V21"/>
  <c r="V25"/>
  <c r="X25" s="1"/>
  <c r="V26"/>
  <c r="X26" s="1"/>
  <c r="V27"/>
  <c r="V28"/>
  <c r="V29"/>
  <c r="V30"/>
  <c r="V31"/>
  <c r="W15"/>
  <c r="W23"/>
  <c r="W25"/>
  <c r="R7"/>
  <c r="R15"/>
  <c r="R23"/>
  <c r="R25"/>
  <c r="P15"/>
  <c r="P25"/>
  <c r="K33"/>
  <c r="G10"/>
  <c r="G11"/>
  <c r="G13"/>
  <c r="G18"/>
  <c r="G19"/>
  <c r="G21"/>
  <c r="G26"/>
  <c r="G27"/>
  <c r="G29"/>
  <c r="F33"/>
  <c r="E33"/>
  <c r="D33"/>
  <c r="C6"/>
  <c r="C8"/>
  <c r="C9"/>
  <c r="C10"/>
  <c r="C11"/>
  <c r="C12"/>
  <c r="C13"/>
  <c r="C14"/>
  <c r="C15"/>
  <c r="C16"/>
  <c r="C17"/>
  <c r="C18"/>
  <c r="C19"/>
  <c r="C20"/>
  <c r="C21"/>
  <c r="C22"/>
  <c r="C23"/>
  <c r="C25"/>
  <c r="C26"/>
  <c r="C28"/>
  <c r="C29"/>
  <c r="C30"/>
  <c r="C31"/>
  <c r="B33"/>
  <c r="V12" l="1"/>
  <c r="V17"/>
  <c r="V19"/>
  <c r="X19" s="1"/>
  <c r="V9"/>
  <c r="P24"/>
  <c r="V24"/>
  <c r="X24" s="1"/>
  <c r="V11"/>
  <c r="T9"/>
  <c r="V13"/>
  <c r="T17"/>
  <c r="P27"/>
  <c r="P7"/>
  <c r="X27"/>
  <c r="X17"/>
  <c r="R24"/>
  <c r="O6"/>
  <c r="W6" s="1"/>
  <c r="P26"/>
  <c r="P9"/>
  <c r="R9"/>
  <c r="V18"/>
  <c r="Q26"/>
  <c r="H33"/>
  <c r="P18"/>
  <c r="R18"/>
  <c r="T11"/>
  <c r="G22"/>
  <c r="P19"/>
  <c r="T21"/>
  <c r="Q30"/>
  <c r="G31"/>
  <c r="G23"/>
  <c r="G15"/>
  <c r="G7"/>
  <c r="P21"/>
  <c r="R28"/>
  <c r="W28"/>
  <c r="X28" s="1"/>
  <c r="W19"/>
  <c r="W11"/>
  <c r="T22"/>
  <c r="T13"/>
  <c r="Q25"/>
  <c r="T26"/>
  <c r="G28"/>
  <c r="V10"/>
  <c r="X10" s="1"/>
  <c r="T10"/>
  <c r="T28"/>
  <c r="G30"/>
  <c r="G6"/>
  <c r="R27"/>
  <c r="G24"/>
  <c r="G8"/>
  <c r="G33" s="1"/>
  <c r="P30"/>
  <c r="P22"/>
  <c r="P13"/>
  <c r="R29"/>
  <c r="R21"/>
  <c r="R13"/>
  <c r="W29"/>
  <c r="X29" s="1"/>
  <c r="W21"/>
  <c r="X21" s="1"/>
  <c r="V22"/>
  <c r="X22" s="1"/>
  <c r="V14"/>
  <c r="T23"/>
  <c r="P17"/>
  <c r="R17"/>
  <c r="T18"/>
  <c r="Q28"/>
  <c r="R26"/>
  <c r="W9"/>
  <c r="X9" s="1"/>
  <c r="T19"/>
  <c r="Q29"/>
  <c r="P11"/>
  <c r="R19"/>
  <c r="R11"/>
  <c r="T29"/>
  <c r="C33"/>
  <c r="G25"/>
  <c r="G17"/>
  <c r="G9"/>
  <c r="N33"/>
  <c r="P23"/>
  <c r="R30"/>
  <c r="R22"/>
  <c r="W13"/>
  <c r="V23"/>
  <c r="X23" s="1"/>
  <c r="V15"/>
  <c r="X15" s="1"/>
  <c r="V7"/>
  <c r="X7" s="1"/>
  <c r="T24"/>
  <c r="T15"/>
  <c r="T7"/>
  <c r="O20"/>
  <c r="O18"/>
  <c r="W18" s="1"/>
  <c r="O16"/>
  <c r="O14"/>
  <c r="W14" s="1"/>
  <c r="O12"/>
  <c r="O10"/>
  <c r="W10" s="1"/>
  <c r="O8"/>
  <c r="Q31"/>
  <c r="Q12"/>
  <c r="Q16"/>
  <c r="Q18"/>
  <c r="Q20"/>
  <c r="Q22"/>
  <c r="Q24"/>
  <c r="Q7"/>
  <c r="Q9"/>
  <c r="Q11"/>
  <c r="Q13"/>
  <c r="Q15"/>
  <c r="Q17"/>
  <c r="Q19"/>
  <c r="Q21"/>
  <c r="Q23"/>
  <c r="X30"/>
  <c r="M33"/>
  <c r="R6"/>
  <c r="V6"/>
  <c r="X6" s="1"/>
  <c r="P20"/>
  <c r="W20"/>
  <c r="X20" s="1"/>
  <c r="T31"/>
  <c r="W31"/>
  <c r="R31"/>
  <c r="P31"/>
  <c r="X13" l="1"/>
  <c r="X11"/>
  <c r="T12"/>
  <c r="W12"/>
  <c r="X12" s="1"/>
  <c r="R12"/>
  <c r="P12"/>
  <c r="T20"/>
  <c r="R20"/>
  <c r="O33"/>
  <c r="P10"/>
  <c r="X14"/>
  <c r="P6"/>
  <c r="P14"/>
  <c r="R10"/>
  <c r="W8"/>
  <c r="X8" s="1"/>
  <c r="R8"/>
  <c r="P8"/>
  <c r="T8"/>
  <c r="T6"/>
  <c r="Q8"/>
  <c r="T14"/>
  <c r="X18"/>
  <c r="R16"/>
  <c r="P16"/>
  <c r="W16"/>
  <c r="X16" s="1"/>
  <c r="T16"/>
  <c r="R14"/>
  <c r="Q14"/>
  <c r="Q6"/>
  <c r="Q10"/>
  <c r="AH33"/>
  <c r="AF33"/>
  <c r="V33"/>
  <c r="X31"/>
  <c r="P33" l="1"/>
  <c r="AI33"/>
  <c r="AI43" s="1"/>
  <c r="R33"/>
  <c r="T33"/>
  <c r="T38" s="1"/>
  <c r="Q33"/>
  <c r="Q38" s="1"/>
  <c r="AG33"/>
  <c r="AG43" s="1"/>
  <c r="W33"/>
  <c r="X33" s="1"/>
</calcChain>
</file>

<file path=xl/sharedStrings.xml><?xml version="1.0" encoding="utf-8"?>
<sst xmlns="http://schemas.openxmlformats.org/spreadsheetml/2006/main" count="70" uniqueCount="70">
  <si>
    <t>Район</t>
  </si>
  <si>
    <t>Численность населения</t>
  </si>
  <si>
    <t>Кол-во муниципальных образований, всего</t>
  </si>
  <si>
    <t>в том числе</t>
  </si>
  <si>
    <t>в том числе прочие сотрудники</t>
  </si>
  <si>
    <t>ИТОГО объем субвенции 2009 г.</t>
  </si>
  <si>
    <t>ИТОГО объем субвенции 2010 г.</t>
  </si>
  <si>
    <t>ИТОГО объем субвенции 2010 г. без округлений</t>
  </si>
  <si>
    <t>ИТОГО объем субвенции 2011 г.</t>
  </si>
  <si>
    <t>ИТОГО объем субвенции 2011 г. без округлений</t>
  </si>
  <si>
    <t>ФОТ с начислениями на 2013-2014 гг.</t>
  </si>
  <si>
    <t>Мат.затраты</t>
  </si>
  <si>
    <t>ИТОГО субвенция на 2013-2014 гг.</t>
  </si>
  <si>
    <t>городской округ</t>
  </si>
  <si>
    <t>городское поселение</t>
  </si>
  <si>
    <t>сельское поселение</t>
  </si>
  <si>
    <t>по городским округам</t>
  </si>
  <si>
    <t>по городским  поселениям</t>
  </si>
  <si>
    <t>по сельским поселениям</t>
  </si>
  <si>
    <t>Вельский</t>
  </si>
  <si>
    <t>В-Тоемский</t>
  </si>
  <si>
    <t>Вилегодский</t>
  </si>
  <si>
    <t>Виноградовский</t>
  </si>
  <si>
    <t>Каргопольский</t>
  </si>
  <si>
    <t>Коношский</t>
  </si>
  <si>
    <t>Котласский</t>
  </si>
  <si>
    <t>Красноборский</t>
  </si>
  <si>
    <t>Ленский</t>
  </si>
  <si>
    <t>Лешуконский</t>
  </si>
  <si>
    <t>Мезенский</t>
  </si>
  <si>
    <t>Няндомский</t>
  </si>
  <si>
    <t>Онежский</t>
  </si>
  <si>
    <t>Пинежский</t>
  </si>
  <si>
    <t>Плесецкий</t>
  </si>
  <si>
    <t>Приморский</t>
  </si>
  <si>
    <t>Устьянский</t>
  </si>
  <si>
    <t>Холмогорский</t>
  </si>
  <si>
    <t>Шенкурский</t>
  </si>
  <si>
    <t>Архангельск</t>
  </si>
  <si>
    <t>Северодвинск</t>
  </si>
  <si>
    <t>Котлас</t>
  </si>
  <si>
    <t>Новодвинск</t>
  </si>
  <si>
    <t>Коряжма</t>
  </si>
  <si>
    <t>Мирный</t>
  </si>
  <si>
    <t>Новая Земля</t>
  </si>
  <si>
    <t>ИТОГО:</t>
  </si>
  <si>
    <t>2007 год</t>
  </si>
  <si>
    <t>Предыд.расчет</t>
  </si>
  <si>
    <t>Разница</t>
  </si>
  <si>
    <t>гр.6=гр.7+гр.8+гр.9+гр10</t>
  </si>
  <si>
    <t>гр.12=гр.10*гр.11*1,7(либо 2,2;3)*49*1,302/1000</t>
  </si>
  <si>
    <t>гр.13=гр.10*50</t>
  </si>
  <si>
    <t>гр.14=50*0,25*(гр.7+гр.8+гр.9)</t>
  </si>
  <si>
    <t>гр.15=гр.12+гр.13+гр.14)</t>
  </si>
  <si>
    <t>Общая численность  административных комиссий, ед.</t>
  </si>
  <si>
    <t>штатные сотрудники, ед.</t>
  </si>
  <si>
    <t xml:space="preserve">Расходы на зарплату с начислениями 30,2% штатных сотр., тыс.руб. </t>
  </si>
  <si>
    <t>Расходы на материальное обеспечение ответственных секретарей (50 тыс. руб. в год), тыс. руб.</t>
  </si>
  <si>
    <t>Расходы на материальное обеспечение остальных членов комиссий (50 тыс.руб.*0,25), тыс.руб.</t>
  </si>
  <si>
    <t>ИТОГО объем субвенции 2015 год, тыс.руб.</t>
  </si>
  <si>
    <t>Должностной оклад (с инд. в 1,06 с 01.10.2012), руб.</t>
  </si>
  <si>
    <t>Фонд оплаты труда с начислениями на 2016 год, тыс.руб.</t>
  </si>
  <si>
    <t>гр.16=гр.12*0,606</t>
  </si>
  <si>
    <t>ИТОГО объем субвенции на 2016 год, тыс.руб.</t>
  </si>
  <si>
    <t>Фонд оплаты труда с начислениями на 2017 год, тыс.руб.</t>
  </si>
  <si>
    <t>ИТОГО объем субвенции на 2017 год, тыс.руб.</t>
  </si>
  <si>
    <t>гр.17=гр.16+гр.13*0,606+гр.14*0,606</t>
  </si>
  <si>
    <t>гр.18=гр.12*0,919</t>
  </si>
  <si>
    <t>гр.19=гр.13*0,919+гр.14*0,919+гр.18</t>
  </si>
  <si>
    <t xml:space="preserve">Расчет субвенций бюджетам муниципальных образований Архангельской области на осуществление государственных полномочий в сфере административных правонарушений на 2015 год и на плановый период 2016 и 2017 годов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</si>
</sst>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ill="1"/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5" fontId="3" fillId="0" borderId="1" xfId="0" applyNumberFormat="1" applyFont="1" applyFill="1" applyBorder="1"/>
    <xf numFmtId="165" fontId="1" fillId="0" borderId="1" xfId="0" applyNumberFormat="1" applyFont="1" applyFill="1" applyBorder="1"/>
    <xf numFmtId="165" fontId="3" fillId="0" borderId="3" xfId="0" applyNumberFormat="1" applyFont="1" applyFill="1" applyBorder="1"/>
    <xf numFmtId="165" fontId="1" fillId="0" borderId="3" xfId="0" applyNumberFormat="1" applyFont="1" applyFill="1" applyBorder="1"/>
    <xf numFmtId="165" fontId="0" fillId="0" borderId="0" xfId="0" applyNumberFormat="1"/>
    <xf numFmtId="165" fontId="0" fillId="0" borderId="0" xfId="0" applyNumberFormat="1" applyFill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164" fontId="0" fillId="0" borderId="0" xfId="0" applyNumberFormat="1"/>
    <xf numFmtId="0" fontId="0" fillId="0" borderId="0" xfId="0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Border="1"/>
    <xf numFmtId="1" fontId="0" fillId="0" borderId="4" xfId="0" applyNumberFormat="1" applyBorder="1"/>
    <xf numFmtId="164" fontId="0" fillId="0" borderId="4" xfId="0" applyNumberFormat="1" applyBorder="1"/>
    <xf numFmtId="165" fontId="0" fillId="0" borderId="4" xfId="0" applyNumberFormat="1" applyBorder="1"/>
    <xf numFmtId="165" fontId="3" fillId="0" borderId="4" xfId="0" applyNumberFormat="1" applyFont="1" applyFill="1" applyBorder="1"/>
    <xf numFmtId="164" fontId="3" fillId="0" borderId="4" xfId="0" applyNumberFormat="1" applyFont="1" applyFill="1" applyBorder="1"/>
    <xf numFmtId="165" fontId="1" fillId="0" borderId="4" xfId="0" applyNumberFormat="1" applyFont="1" applyFill="1" applyBorder="1"/>
    <xf numFmtId="164" fontId="3" fillId="0" borderId="1" xfId="0" applyNumberFormat="1" applyFont="1" applyFill="1" applyBorder="1"/>
    <xf numFmtId="0" fontId="0" fillId="0" borderId="3" xfId="0" applyBorder="1"/>
    <xf numFmtId="1" fontId="0" fillId="0" borderId="3" xfId="0" applyNumberFormat="1" applyBorder="1"/>
    <xf numFmtId="164" fontId="0" fillId="0" borderId="3" xfId="0" applyNumberFormat="1" applyBorder="1"/>
    <xf numFmtId="165" fontId="0" fillId="0" borderId="3" xfId="0" applyNumberFormat="1" applyBorder="1"/>
    <xf numFmtId="164" fontId="3" fillId="0" borderId="3" xfId="0" applyNumberFormat="1" applyFont="1" applyFill="1" applyBorder="1"/>
    <xf numFmtId="164" fontId="2" fillId="0" borderId="4" xfId="0" applyNumberFormat="1" applyFont="1" applyBorder="1"/>
    <xf numFmtId="0" fontId="10" fillId="0" borderId="2" xfId="0" applyFont="1" applyBorder="1"/>
    <xf numFmtId="1" fontId="10" fillId="0" borderId="2" xfId="0" applyNumberFormat="1" applyFont="1" applyBorder="1"/>
    <xf numFmtId="164" fontId="10" fillId="0" borderId="2" xfId="0" applyNumberFormat="1" applyFont="1" applyBorder="1"/>
    <xf numFmtId="165" fontId="10" fillId="0" borderId="2" xfId="0" applyNumberFormat="1" applyFont="1" applyBorder="1"/>
    <xf numFmtId="165" fontId="10" fillId="0" borderId="2" xfId="0" applyNumberFormat="1" applyFont="1" applyFill="1" applyBorder="1"/>
    <xf numFmtId="164" fontId="10" fillId="0" borderId="2" xfId="0" applyNumberFormat="1" applyFont="1" applyFill="1" applyBorder="1"/>
    <xf numFmtId="0" fontId="11" fillId="0" borderId="2" xfId="0" applyFont="1" applyBorder="1"/>
    <xf numFmtId="0" fontId="11" fillId="0" borderId="0" xfId="0" applyFont="1"/>
    <xf numFmtId="164" fontId="2" fillId="0" borderId="1" xfId="0" applyNumberFormat="1" applyFont="1" applyBorder="1"/>
    <xf numFmtId="164" fontId="0" fillId="2" borderId="1" xfId="0" applyNumberFormat="1" applyFill="1" applyBorder="1"/>
    <xf numFmtId="1" fontId="0" fillId="2" borderId="1" xfId="0" applyNumberFormat="1" applyFill="1" applyBorder="1"/>
    <xf numFmtId="0" fontId="4" fillId="0" borderId="1" xfId="0" applyFont="1" applyBorder="1"/>
    <xf numFmtId="0" fontId="0" fillId="0" borderId="1" xfId="0" applyBorder="1" applyAlignment="1">
      <alignment wrapText="1"/>
    </xf>
    <xf numFmtId="166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3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2.75"/>
  <cols>
    <col min="1" max="1" width="14.42578125" customWidth="1"/>
    <col min="2" max="2" width="14.7109375" hidden="1" customWidth="1"/>
    <col min="3" max="3" width="7.140625" customWidth="1"/>
    <col min="4" max="4" width="6.42578125" customWidth="1"/>
    <col min="5" max="5" width="7.140625" customWidth="1"/>
    <col min="6" max="6" width="6.42578125" customWidth="1"/>
    <col min="7" max="7" width="9.5703125" customWidth="1"/>
    <col min="8" max="9" width="7.42578125" customWidth="1"/>
    <col min="10" max="10" width="8" customWidth="1"/>
    <col min="11" max="11" width="7.140625" customWidth="1"/>
    <col min="12" max="12" width="10.5703125" customWidth="1"/>
    <col min="13" max="13" width="13.7109375" customWidth="1"/>
    <col min="14" max="14" width="10.5703125" customWidth="1"/>
    <col min="15" max="15" width="11.85546875" customWidth="1"/>
    <col min="16" max="16" width="10.85546875" style="1" hidden="1" customWidth="1"/>
    <col min="17" max="17" width="11.7109375" style="1" customWidth="1"/>
    <col min="18" max="21" width="10.85546875" style="1" hidden="1" customWidth="1"/>
    <col min="22" max="24" width="12" style="1" hidden="1" customWidth="1"/>
    <col min="25" max="31" width="0" hidden="1" customWidth="1"/>
    <col min="32" max="32" width="13.5703125" customWidth="1"/>
    <col min="33" max="33" width="12.85546875" style="1" customWidth="1"/>
    <col min="34" max="34" width="11.85546875" customWidth="1"/>
    <col min="35" max="35" width="13.28515625" customWidth="1"/>
  </cols>
  <sheetData>
    <row r="1" spans="1:35" ht="63.75" customHeight="1">
      <c r="A1" s="55" t="s">
        <v>69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8"/>
      <c r="AI1" s="58"/>
    </row>
    <row r="2" spans="1:35">
      <c r="Q2" s="19"/>
      <c r="AG2" s="19"/>
    </row>
    <row r="3" spans="1:35" ht="32.25" customHeight="1">
      <c r="A3" s="59" t="s">
        <v>0</v>
      </c>
      <c r="B3" s="54" t="s">
        <v>1</v>
      </c>
      <c r="C3" s="54" t="s">
        <v>2</v>
      </c>
      <c r="D3" s="59" t="s">
        <v>3</v>
      </c>
      <c r="E3" s="59"/>
      <c r="F3" s="59"/>
      <c r="G3" s="54" t="s">
        <v>54</v>
      </c>
      <c r="H3" s="54" t="s">
        <v>4</v>
      </c>
      <c r="I3" s="54"/>
      <c r="J3" s="54"/>
      <c r="K3" s="54" t="s">
        <v>55</v>
      </c>
      <c r="L3" s="54" t="s">
        <v>60</v>
      </c>
      <c r="M3" s="54" t="s">
        <v>56</v>
      </c>
      <c r="N3" s="54" t="s">
        <v>57</v>
      </c>
      <c r="O3" s="54" t="s">
        <v>58</v>
      </c>
      <c r="P3" s="53" t="s">
        <v>5</v>
      </c>
      <c r="Q3" s="53" t="s">
        <v>59</v>
      </c>
      <c r="R3" s="53" t="s">
        <v>6</v>
      </c>
      <c r="S3" s="53" t="s">
        <v>7</v>
      </c>
      <c r="T3" s="53" t="s">
        <v>8</v>
      </c>
      <c r="U3" s="53" t="s">
        <v>9</v>
      </c>
      <c r="V3" s="60" t="s">
        <v>10</v>
      </c>
      <c r="W3" s="60" t="s">
        <v>11</v>
      </c>
      <c r="X3" s="53" t="s">
        <v>12</v>
      </c>
      <c r="Y3" s="21"/>
      <c r="Z3" s="21"/>
      <c r="AA3" s="21"/>
      <c r="AB3" s="21"/>
      <c r="AC3" s="21"/>
      <c r="AD3" s="21"/>
      <c r="AE3" s="21"/>
      <c r="AF3" s="54" t="s">
        <v>61</v>
      </c>
      <c r="AG3" s="53" t="s">
        <v>63</v>
      </c>
      <c r="AH3" s="54" t="s">
        <v>64</v>
      </c>
      <c r="AI3" s="53" t="s">
        <v>65</v>
      </c>
    </row>
    <row r="4" spans="1:35" ht="130.15" customHeight="1">
      <c r="A4" s="59"/>
      <c r="B4" s="54"/>
      <c r="C4" s="54"/>
      <c r="D4" s="20" t="s">
        <v>13</v>
      </c>
      <c r="E4" s="20" t="s">
        <v>14</v>
      </c>
      <c r="F4" s="20" t="s">
        <v>15</v>
      </c>
      <c r="G4" s="54"/>
      <c r="H4" s="20" t="s">
        <v>16</v>
      </c>
      <c r="I4" s="20" t="s">
        <v>17</v>
      </c>
      <c r="J4" s="20" t="s">
        <v>18</v>
      </c>
      <c r="K4" s="54"/>
      <c r="L4" s="54"/>
      <c r="M4" s="54"/>
      <c r="N4" s="54"/>
      <c r="O4" s="54"/>
      <c r="P4" s="53"/>
      <c r="Q4" s="53"/>
      <c r="R4" s="53"/>
      <c r="S4" s="53"/>
      <c r="T4" s="53"/>
      <c r="U4" s="53"/>
      <c r="V4" s="60"/>
      <c r="W4" s="60"/>
      <c r="X4" s="53"/>
      <c r="Y4" s="21"/>
      <c r="Z4" s="21"/>
      <c r="AA4" s="21"/>
      <c r="AB4" s="21"/>
      <c r="AC4" s="21"/>
      <c r="AD4" s="21"/>
      <c r="AE4" s="21"/>
      <c r="AF4" s="54"/>
      <c r="AG4" s="53"/>
      <c r="AH4" s="54"/>
      <c r="AI4" s="53"/>
    </row>
    <row r="5" spans="1:35" s="24" customFormat="1" ht="40.5" customHeight="1">
      <c r="A5" s="22">
        <v>1</v>
      </c>
      <c r="B5" s="22"/>
      <c r="C5" s="22">
        <v>2</v>
      </c>
      <c r="D5" s="22">
        <v>3</v>
      </c>
      <c r="E5" s="22">
        <v>4</v>
      </c>
      <c r="F5" s="22">
        <v>5</v>
      </c>
      <c r="G5" s="22" t="s">
        <v>49</v>
      </c>
      <c r="H5" s="22">
        <v>7</v>
      </c>
      <c r="I5" s="22">
        <v>8</v>
      </c>
      <c r="J5" s="22">
        <v>9</v>
      </c>
      <c r="K5" s="22">
        <v>10</v>
      </c>
      <c r="L5" s="22">
        <v>11</v>
      </c>
      <c r="M5" s="22" t="s">
        <v>50</v>
      </c>
      <c r="N5" s="22" t="s">
        <v>51</v>
      </c>
      <c r="O5" s="22" t="s">
        <v>52</v>
      </c>
      <c r="P5" s="23"/>
      <c r="Q5" s="23" t="s">
        <v>53</v>
      </c>
      <c r="R5" s="23"/>
      <c r="S5" s="23"/>
      <c r="T5" s="23"/>
      <c r="U5" s="23"/>
      <c r="V5" s="23"/>
      <c r="W5" s="23"/>
      <c r="X5" s="23"/>
      <c r="Y5" s="22"/>
      <c r="Z5" s="22"/>
      <c r="AA5" s="22"/>
      <c r="AB5" s="22"/>
      <c r="AC5" s="22"/>
      <c r="AD5" s="22"/>
      <c r="AE5" s="22"/>
      <c r="AF5" s="22" t="s">
        <v>62</v>
      </c>
      <c r="AG5" s="23" t="s">
        <v>66</v>
      </c>
      <c r="AH5" s="22" t="s">
        <v>67</v>
      </c>
      <c r="AI5" s="22" t="s">
        <v>68</v>
      </c>
    </row>
    <row r="6" spans="1:35">
      <c r="A6" s="25" t="s">
        <v>19</v>
      </c>
      <c r="B6" s="25"/>
      <c r="C6" s="25">
        <f t="shared" ref="C6:C21" si="0">SUM(D6:F6)</f>
        <v>22</v>
      </c>
      <c r="D6" s="25">
        <v>0</v>
      </c>
      <c r="E6" s="25">
        <v>2</v>
      </c>
      <c r="F6" s="25">
        <v>20</v>
      </c>
      <c r="G6" s="25">
        <f>SUM(H6:K6)</f>
        <v>112</v>
      </c>
      <c r="H6" s="25">
        <f>11*D6</f>
        <v>0</v>
      </c>
      <c r="I6" s="25">
        <f>6*E6</f>
        <v>12</v>
      </c>
      <c r="J6" s="26">
        <f>5*F6</f>
        <v>100</v>
      </c>
      <c r="K6" s="26">
        <v>0</v>
      </c>
      <c r="L6" s="26">
        <v>3985</v>
      </c>
      <c r="M6" s="27">
        <f t="shared" ref="M6:M24" si="1">ROUND(L6*K6*3*49*1.302/1000,1)</f>
        <v>0</v>
      </c>
      <c r="N6" s="27">
        <f>50*1.078*K6</f>
        <v>0</v>
      </c>
      <c r="O6" s="28">
        <f>50*0.25*(H6+I6+J6)</f>
        <v>1400</v>
      </c>
      <c r="P6" s="29">
        <f>M6+N6+O6</f>
        <v>1400</v>
      </c>
      <c r="Q6" s="29">
        <f t="shared" ref="Q6:Q31" si="2">ROUND(M6+N6+O6,1)</f>
        <v>1400</v>
      </c>
      <c r="R6" s="30">
        <f>M6*1.065+(N6+O6)*1.07</f>
        <v>1498</v>
      </c>
      <c r="S6" s="30">
        <v>1957</v>
      </c>
      <c r="T6" s="30">
        <f>M6*1.065*1.082+(N6+O6)*1.07*1.082</f>
        <v>1620.836</v>
      </c>
      <c r="U6" s="30">
        <v>2117.5</v>
      </c>
      <c r="V6" s="31">
        <f>ROUND(M6/1.015*1.06,1)</f>
        <v>0</v>
      </c>
      <c r="W6" s="27">
        <f>N6+O6</f>
        <v>1400</v>
      </c>
      <c r="X6" s="29">
        <f>V6+W6</f>
        <v>1400</v>
      </c>
      <c r="Y6" s="25"/>
      <c r="Z6" s="25"/>
      <c r="AA6" s="25"/>
      <c r="AB6" s="25"/>
      <c r="AC6" s="25"/>
      <c r="AD6" s="25"/>
      <c r="AE6" s="25"/>
      <c r="AF6" s="28">
        <f>ROUND(M6*$AG$41/100,1)</f>
        <v>0</v>
      </c>
      <c r="AG6" s="29">
        <f>ROUND(AF6+O6*$AG$41/100+N6*$AG$41/100,1)</f>
        <v>874.5</v>
      </c>
      <c r="AH6" s="27">
        <f>ROUND(M6*$AI$41/100,1)</f>
        <v>0</v>
      </c>
      <c r="AI6" s="38">
        <f>ROUND(N6*$AI$41/100+O6*$AI$41/100+AH6,1)</f>
        <v>1286.9000000000001</v>
      </c>
    </row>
    <row r="7" spans="1:35">
      <c r="A7" s="2" t="s">
        <v>20</v>
      </c>
      <c r="B7" s="2"/>
      <c r="C7" s="2">
        <v>8</v>
      </c>
      <c r="D7" s="2">
        <v>0</v>
      </c>
      <c r="E7" s="2">
        <v>0</v>
      </c>
      <c r="F7" s="2">
        <v>8</v>
      </c>
      <c r="G7" s="2">
        <f t="shared" ref="G7:G31" si="3">SUM(H7:K7)</f>
        <v>40</v>
      </c>
      <c r="H7" s="2">
        <f t="shared" ref="H7:H24" si="4">11*D7</f>
        <v>0</v>
      </c>
      <c r="I7" s="2">
        <f t="shared" ref="I7:I30" si="5">6*E7</f>
        <v>0</v>
      </c>
      <c r="J7" s="3">
        <f t="shared" ref="J7:J30" si="6">5*F7</f>
        <v>40</v>
      </c>
      <c r="K7" s="3">
        <v>0</v>
      </c>
      <c r="L7" s="3">
        <v>3985</v>
      </c>
      <c r="M7" s="4">
        <f t="shared" si="1"/>
        <v>0</v>
      </c>
      <c r="N7" s="4">
        <f t="shared" ref="N7:N24" si="7">50*1.078*K7</f>
        <v>0</v>
      </c>
      <c r="O7" s="5">
        <f t="shared" ref="O7:O31" si="8">50*0.25*(H7+I7+J7)</f>
        <v>500</v>
      </c>
      <c r="P7" s="6">
        <f t="shared" ref="P7:P31" si="9">M7+N7+O7</f>
        <v>500</v>
      </c>
      <c r="Q7" s="6">
        <f t="shared" si="2"/>
        <v>500</v>
      </c>
      <c r="R7" s="32">
        <f t="shared" ref="R7:R31" si="10">M7*1.065+(N7+O7)*1.07</f>
        <v>535</v>
      </c>
      <c r="S7" s="32">
        <v>786.3</v>
      </c>
      <c r="T7" s="32">
        <f t="shared" ref="T7:T31" si="11">M7*1.065*1.082+(N7+O7)*1.07*1.082</f>
        <v>578.87</v>
      </c>
      <c r="U7" s="32">
        <v>850.8</v>
      </c>
      <c r="V7" s="7">
        <f t="shared" ref="V7:V31" si="12">ROUND(M7/1.015*1.06,1)</f>
        <v>0</v>
      </c>
      <c r="W7" s="4">
        <f t="shared" ref="W7:W31" si="13">N7+O7</f>
        <v>500</v>
      </c>
      <c r="X7" s="6">
        <f t="shared" ref="X7:X33" si="14">V7+W7</f>
        <v>500</v>
      </c>
      <c r="Y7" s="2"/>
      <c r="Z7" s="2"/>
      <c r="AA7" s="2"/>
      <c r="AB7" s="2"/>
      <c r="AC7" s="2"/>
      <c r="AD7" s="2"/>
      <c r="AE7" s="2"/>
      <c r="AF7" s="5">
        <f t="shared" ref="AF7:AF31" si="15">ROUND(M7*$AG$41/100,1)</f>
        <v>0</v>
      </c>
      <c r="AG7" s="6">
        <f t="shared" ref="AG7:AG31" si="16">ROUND(AF7+O7*$AG$41/100+N7*$AG$41/100,1)</f>
        <v>312.3</v>
      </c>
      <c r="AH7" s="4">
        <f t="shared" ref="AH7:AH31" si="17">ROUND(M7*$AI$41/100,1)</f>
        <v>0</v>
      </c>
      <c r="AI7" s="47">
        <f t="shared" ref="AI7:AI31" si="18">ROUND(N7*$AI$41/100+O7*$AI$41/100+AH7,1)</f>
        <v>459.6</v>
      </c>
    </row>
    <row r="8" spans="1:35">
      <c r="A8" s="2" t="s">
        <v>21</v>
      </c>
      <c r="B8" s="2"/>
      <c r="C8" s="2">
        <f t="shared" si="0"/>
        <v>6</v>
      </c>
      <c r="D8" s="2">
        <v>0</v>
      </c>
      <c r="E8" s="2">
        <v>0</v>
      </c>
      <c r="F8" s="2">
        <v>6</v>
      </c>
      <c r="G8" s="2">
        <f t="shared" si="3"/>
        <v>30</v>
      </c>
      <c r="H8" s="2">
        <f t="shared" si="4"/>
        <v>0</v>
      </c>
      <c r="I8" s="2">
        <f t="shared" si="5"/>
        <v>0</v>
      </c>
      <c r="J8" s="3">
        <f t="shared" si="6"/>
        <v>30</v>
      </c>
      <c r="K8" s="3">
        <v>0</v>
      </c>
      <c r="L8" s="3">
        <v>3985</v>
      </c>
      <c r="M8" s="4">
        <f t="shared" si="1"/>
        <v>0</v>
      </c>
      <c r="N8" s="4">
        <f t="shared" si="7"/>
        <v>0</v>
      </c>
      <c r="O8" s="5">
        <f t="shared" si="8"/>
        <v>375</v>
      </c>
      <c r="P8" s="6">
        <f t="shared" si="9"/>
        <v>375</v>
      </c>
      <c r="Q8" s="6">
        <f t="shared" si="2"/>
        <v>375</v>
      </c>
      <c r="R8" s="32">
        <f t="shared" si="10"/>
        <v>401.25</v>
      </c>
      <c r="S8" s="32">
        <v>524.20000000000005</v>
      </c>
      <c r="T8" s="32">
        <f t="shared" si="11"/>
        <v>434.15250000000003</v>
      </c>
      <c r="U8" s="32">
        <v>567.20000000000005</v>
      </c>
      <c r="V8" s="7">
        <f t="shared" si="12"/>
        <v>0</v>
      </c>
      <c r="W8" s="4">
        <f t="shared" si="13"/>
        <v>375</v>
      </c>
      <c r="X8" s="6">
        <f t="shared" si="14"/>
        <v>375</v>
      </c>
      <c r="Y8" s="2"/>
      <c r="Z8" s="2"/>
      <c r="AA8" s="2"/>
      <c r="AB8" s="2"/>
      <c r="AC8" s="2"/>
      <c r="AD8" s="2"/>
      <c r="AE8" s="2"/>
      <c r="AF8" s="5">
        <f t="shared" si="15"/>
        <v>0</v>
      </c>
      <c r="AG8" s="6">
        <f t="shared" si="16"/>
        <v>234.2</v>
      </c>
      <c r="AH8" s="4">
        <f t="shared" si="17"/>
        <v>0</v>
      </c>
      <c r="AI8" s="47">
        <f t="shared" si="18"/>
        <v>344.7</v>
      </c>
    </row>
    <row r="9" spans="1:35">
      <c r="A9" s="2" t="s">
        <v>22</v>
      </c>
      <c r="B9" s="2"/>
      <c r="C9" s="2">
        <f t="shared" si="0"/>
        <v>9</v>
      </c>
      <c r="D9" s="2">
        <v>0</v>
      </c>
      <c r="E9" s="2">
        <v>1</v>
      </c>
      <c r="F9" s="2">
        <v>8</v>
      </c>
      <c r="G9" s="2">
        <f t="shared" si="3"/>
        <v>46</v>
      </c>
      <c r="H9" s="2">
        <f t="shared" si="4"/>
        <v>0</v>
      </c>
      <c r="I9" s="2">
        <f t="shared" si="5"/>
        <v>6</v>
      </c>
      <c r="J9" s="3">
        <f t="shared" si="6"/>
        <v>40</v>
      </c>
      <c r="K9" s="3">
        <v>0</v>
      </c>
      <c r="L9" s="3">
        <v>3985</v>
      </c>
      <c r="M9" s="4">
        <f t="shared" si="1"/>
        <v>0</v>
      </c>
      <c r="N9" s="4">
        <f t="shared" si="7"/>
        <v>0</v>
      </c>
      <c r="O9" s="5">
        <f t="shared" si="8"/>
        <v>575</v>
      </c>
      <c r="P9" s="6">
        <f t="shared" si="9"/>
        <v>575</v>
      </c>
      <c r="Q9" s="6">
        <f t="shared" si="2"/>
        <v>575</v>
      </c>
      <c r="R9" s="32">
        <f t="shared" si="10"/>
        <v>615.25</v>
      </c>
      <c r="S9" s="32">
        <v>803.8</v>
      </c>
      <c r="T9" s="32">
        <f t="shared" si="11"/>
        <v>665.70050000000003</v>
      </c>
      <c r="U9" s="32">
        <v>869.7</v>
      </c>
      <c r="V9" s="7">
        <f t="shared" si="12"/>
        <v>0</v>
      </c>
      <c r="W9" s="4">
        <f t="shared" si="13"/>
        <v>575</v>
      </c>
      <c r="X9" s="6">
        <f t="shared" si="14"/>
        <v>575</v>
      </c>
      <c r="Y9" s="2"/>
      <c r="Z9" s="2"/>
      <c r="AA9" s="2"/>
      <c r="AB9" s="2"/>
      <c r="AC9" s="2"/>
      <c r="AD9" s="2"/>
      <c r="AE9" s="2"/>
      <c r="AF9" s="5">
        <f t="shared" si="15"/>
        <v>0</v>
      </c>
      <c r="AG9" s="6">
        <f t="shared" si="16"/>
        <v>359.2</v>
      </c>
      <c r="AH9" s="4">
        <f t="shared" si="17"/>
        <v>0</v>
      </c>
      <c r="AI9" s="47">
        <f t="shared" si="18"/>
        <v>528.5</v>
      </c>
    </row>
    <row r="10" spans="1:35">
      <c r="A10" s="2" t="s">
        <v>23</v>
      </c>
      <c r="B10" s="2"/>
      <c r="C10" s="2">
        <f t="shared" si="0"/>
        <v>6</v>
      </c>
      <c r="D10" s="2">
        <v>0</v>
      </c>
      <c r="E10" s="2">
        <v>1</v>
      </c>
      <c r="F10" s="2">
        <v>5</v>
      </c>
      <c r="G10" s="2">
        <f t="shared" si="3"/>
        <v>31</v>
      </c>
      <c r="H10" s="2">
        <f t="shared" si="4"/>
        <v>0</v>
      </c>
      <c r="I10" s="2">
        <f t="shared" si="5"/>
        <v>6</v>
      </c>
      <c r="J10" s="3">
        <f t="shared" si="6"/>
        <v>25</v>
      </c>
      <c r="K10" s="3">
        <v>0</v>
      </c>
      <c r="L10" s="3">
        <v>3985</v>
      </c>
      <c r="M10" s="4">
        <f t="shared" si="1"/>
        <v>0</v>
      </c>
      <c r="N10" s="4">
        <f t="shared" si="7"/>
        <v>0</v>
      </c>
      <c r="O10" s="5">
        <f t="shared" si="8"/>
        <v>387.5</v>
      </c>
      <c r="P10" s="6">
        <f t="shared" si="9"/>
        <v>387.5</v>
      </c>
      <c r="Q10" s="6">
        <f t="shared" si="2"/>
        <v>387.5</v>
      </c>
      <c r="R10" s="32">
        <f t="shared" si="10"/>
        <v>414.625</v>
      </c>
      <c r="S10" s="32">
        <v>541.70000000000005</v>
      </c>
      <c r="T10" s="32">
        <f t="shared" si="11"/>
        <v>448.62425000000002</v>
      </c>
      <c r="U10" s="32">
        <v>586.1</v>
      </c>
      <c r="V10" s="7">
        <f t="shared" si="12"/>
        <v>0</v>
      </c>
      <c r="W10" s="4">
        <f t="shared" si="13"/>
        <v>387.5</v>
      </c>
      <c r="X10" s="6">
        <f t="shared" si="14"/>
        <v>387.5</v>
      </c>
      <c r="Y10" s="2"/>
      <c r="Z10" s="2"/>
      <c r="AA10" s="2"/>
      <c r="AB10" s="2"/>
      <c r="AC10" s="2"/>
      <c r="AD10" s="2"/>
      <c r="AE10" s="2"/>
      <c r="AF10" s="5">
        <f t="shared" si="15"/>
        <v>0</v>
      </c>
      <c r="AG10" s="6">
        <f t="shared" si="16"/>
        <v>242</v>
      </c>
      <c r="AH10" s="4">
        <f t="shared" si="17"/>
        <v>0</v>
      </c>
      <c r="AI10" s="47">
        <f t="shared" si="18"/>
        <v>356.2</v>
      </c>
    </row>
    <row r="11" spans="1:35">
      <c r="A11" s="2" t="s">
        <v>24</v>
      </c>
      <c r="B11" s="2"/>
      <c r="C11" s="2">
        <f t="shared" si="0"/>
        <v>8</v>
      </c>
      <c r="D11" s="2">
        <v>0</v>
      </c>
      <c r="E11" s="2">
        <v>1</v>
      </c>
      <c r="F11" s="2">
        <v>7</v>
      </c>
      <c r="G11" s="2">
        <f t="shared" si="3"/>
        <v>41</v>
      </c>
      <c r="H11" s="2">
        <f t="shared" si="4"/>
        <v>0</v>
      </c>
      <c r="I11" s="2">
        <f t="shared" si="5"/>
        <v>6</v>
      </c>
      <c r="J11" s="3">
        <f t="shared" si="6"/>
        <v>35</v>
      </c>
      <c r="K11" s="3">
        <v>0</v>
      </c>
      <c r="L11" s="3">
        <v>3985</v>
      </c>
      <c r="M11" s="4">
        <f t="shared" si="1"/>
        <v>0</v>
      </c>
      <c r="N11" s="4">
        <f t="shared" si="7"/>
        <v>0</v>
      </c>
      <c r="O11" s="5">
        <f t="shared" si="8"/>
        <v>512.5</v>
      </c>
      <c r="P11" s="6">
        <f t="shared" si="9"/>
        <v>512.5</v>
      </c>
      <c r="Q11" s="6">
        <f t="shared" si="2"/>
        <v>512.5</v>
      </c>
      <c r="R11" s="32">
        <f t="shared" si="10"/>
        <v>548.375</v>
      </c>
      <c r="S11" s="32">
        <v>716.4</v>
      </c>
      <c r="T11" s="32">
        <f t="shared" si="11"/>
        <v>593.34175000000005</v>
      </c>
      <c r="U11" s="32">
        <v>775.2</v>
      </c>
      <c r="V11" s="7">
        <f t="shared" si="12"/>
        <v>0</v>
      </c>
      <c r="W11" s="4">
        <f t="shared" si="13"/>
        <v>512.5</v>
      </c>
      <c r="X11" s="6">
        <f t="shared" si="14"/>
        <v>512.5</v>
      </c>
      <c r="Y11" s="2"/>
      <c r="Z11" s="2"/>
      <c r="AA11" s="2"/>
      <c r="AB11" s="2"/>
      <c r="AC11" s="2"/>
      <c r="AD11" s="2"/>
      <c r="AE11" s="2"/>
      <c r="AF11" s="5">
        <f t="shared" si="15"/>
        <v>0</v>
      </c>
      <c r="AG11" s="6">
        <f t="shared" si="16"/>
        <v>320.10000000000002</v>
      </c>
      <c r="AH11" s="4">
        <f t="shared" si="17"/>
        <v>0</v>
      </c>
      <c r="AI11" s="47">
        <f t="shared" si="18"/>
        <v>471.1</v>
      </c>
    </row>
    <row r="12" spans="1:35">
      <c r="A12" s="50" t="s">
        <v>25</v>
      </c>
      <c r="B12" s="50"/>
      <c r="C12" s="2">
        <f t="shared" si="0"/>
        <v>4</v>
      </c>
      <c r="D12" s="2">
        <v>0</v>
      </c>
      <c r="E12" s="2">
        <v>3</v>
      </c>
      <c r="F12" s="2">
        <v>1</v>
      </c>
      <c r="G12" s="2">
        <f t="shared" si="3"/>
        <v>23</v>
      </c>
      <c r="H12" s="2">
        <f t="shared" si="4"/>
        <v>0</v>
      </c>
      <c r="I12" s="2">
        <f t="shared" si="5"/>
        <v>18</v>
      </c>
      <c r="J12" s="3">
        <f t="shared" si="6"/>
        <v>5</v>
      </c>
      <c r="K12" s="3">
        <v>0</v>
      </c>
      <c r="L12" s="3">
        <v>3985</v>
      </c>
      <c r="M12" s="4">
        <f t="shared" si="1"/>
        <v>0</v>
      </c>
      <c r="N12" s="4">
        <f t="shared" si="7"/>
        <v>0</v>
      </c>
      <c r="O12" s="5">
        <f t="shared" si="8"/>
        <v>287.5</v>
      </c>
      <c r="P12" s="6">
        <f t="shared" si="9"/>
        <v>287.5</v>
      </c>
      <c r="Q12" s="6">
        <f t="shared" si="2"/>
        <v>287.5</v>
      </c>
      <c r="R12" s="32">
        <f t="shared" si="10"/>
        <v>307.625</v>
      </c>
      <c r="S12" s="32">
        <v>401.9</v>
      </c>
      <c r="T12" s="32">
        <f t="shared" si="11"/>
        <v>332.85025000000002</v>
      </c>
      <c r="U12" s="32">
        <v>434.8</v>
      </c>
      <c r="V12" s="7">
        <f t="shared" si="12"/>
        <v>0</v>
      </c>
      <c r="W12" s="4">
        <f t="shared" si="13"/>
        <v>287.5</v>
      </c>
      <c r="X12" s="6">
        <f t="shared" si="14"/>
        <v>287.5</v>
      </c>
      <c r="Y12" s="2"/>
      <c r="Z12" s="2"/>
      <c r="AA12" s="2"/>
      <c r="AB12" s="2"/>
      <c r="AC12" s="2"/>
      <c r="AD12" s="2"/>
      <c r="AE12" s="2"/>
      <c r="AF12" s="5">
        <f t="shared" si="15"/>
        <v>0</v>
      </c>
      <c r="AG12" s="6">
        <f t="shared" si="16"/>
        <v>179.6</v>
      </c>
      <c r="AH12" s="4">
        <f t="shared" si="17"/>
        <v>0</v>
      </c>
      <c r="AI12" s="47">
        <f t="shared" si="18"/>
        <v>264.3</v>
      </c>
    </row>
    <row r="13" spans="1:35">
      <c r="A13" s="2" t="s">
        <v>26</v>
      </c>
      <c r="B13" s="2"/>
      <c r="C13" s="2">
        <f t="shared" si="0"/>
        <v>7</v>
      </c>
      <c r="D13" s="2">
        <v>0</v>
      </c>
      <c r="E13" s="2">
        <v>0</v>
      </c>
      <c r="F13" s="2">
        <v>7</v>
      </c>
      <c r="G13" s="2">
        <f t="shared" si="3"/>
        <v>35</v>
      </c>
      <c r="H13" s="2">
        <f t="shared" si="4"/>
        <v>0</v>
      </c>
      <c r="I13" s="2">
        <f t="shared" si="5"/>
        <v>0</v>
      </c>
      <c r="J13" s="3">
        <f t="shared" si="6"/>
        <v>35</v>
      </c>
      <c r="K13" s="3">
        <v>0</v>
      </c>
      <c r="L13" s="3">
        <v>3985</v>
      </c>
      <c r="M13" s="4">
        <f t="shared" si="1"/>
        <v>0</v>
      </c>
      <c r="N13" s="4">
        <f t="shared" si="7"/>
        <v>0</v>
      </c>
      <c r="O13" s="5">
        <f t="shared" si="8"/>
        <v>437.5</v>
      </c>
      <c r="P13" s="6">
        <f t="shared" si="9"/>
        <v>437.5</v>
      </c>
      <c r="Q13" s="6">
        <f t="shared" si="2"/>
        <v>437.5</v>
      </c>
      <c r="R13" s="32">
        <f t="shared" si="10"/>
        <v>468.125</v>
      </c>
      <c r="S13" s="32">
        <v>611.6</v>
      </c>
      <c r="T13" s="32">
        <f t="shared" si="11"/>
        <v>506.51125000000002</v>
      </c>
      <c r="U13" s="32">
        <v>661.7</v>
      </c>
      <c r="V13" s="7">
        <f t="shared" si="12"/>
        <v>0</v>
      </c>
      <c r="W13" s="4">
        <f t="shared" si="13"/>
        <v>437.5</v>
      </c>
      <c r="X13" s="6">
        <f t="shared" si="14"/>
        <v>437.5</v>
      </c>
      <c r="Y13" s="2"/>
      <c r="Z13" s="2"/>
      <c r="AA13" s="2"/>
      <c r="AB13" s="2"/>
      <c r="AC13" s="2"/>
      <c r="AD13" s="2"/>
      <c r="AE13" s="2"/>
      <c r="AF13" s="5">
        <f t="shared" si="15"/>
        <v>0</v>
      </c>
      <c r="AG13" s="6">
        <f t="shared" si="16"/>
        <v>273.3</v>
      </c>
      <c r="AH13" s="4">
        <f t="shared" si="17"/>
        <v>0</v>
      </c>
      <c r="AI13" s="47">
        <f t="shared" si="18"/>
        <v>402.2</v>
      </c>
    </row>
    <row r="14" spans="1:35">
      <c r="A14" s="2" t="s">
        <v>27</v>
      </c>
      <c r="B14" s="2"/>
      <c r="C14" s="2">
        <f t="shared" si="0"/>
        <v>4</v>
      </c>
      <c r="D14" s="2">
        <v>0</v>
      </c>
      <c r="E14" s="2">
        <v>1</v>
      </c>
      <c r="F14" s="2">
        <v>3</v>
      </c>
      <c r="G14" s="2">
        <f t="shared" si="3"/>
        <v>21</v>
      </c>
      <c r="H14" s="2">
        <f t="shared" si="4"/>
        <v>0</v>
      </c>
      <c r="I14" s="2">
        <f t="shared" si="5"/>
        <v>6</v>
      </c>
      <c r="J14" s="3">
        <f t="shared" si="6"/>
        <v>15</v>
      </c>
      <c r="K14" s="3">
        <v>0</v>
      </c>
      <c r="L14" s="3">
        <v>3985</v>
      </c>
      <c r="M14" s="4">
        <f t="shared" si="1"/>
        <v>0</v>
      </c>
      <c r="N14" s="4">
        <f t="shared" si="7"/>
        <v>0</v>
      </c>
      <c r="O14" s="5">
        <f t="shared" si="8"/>
        <v>262.5</v>
      </c>
      <c r="P14" s="6">
        <f t="shared" si="9"/>
        <v>262.5</v>
      </c>
      <c r="Q14" s="6">
        <f t="shared" si="2"/>
        <v>262.5</v>
      </c>
      <c r="R14" s="32">
        <f t="shared" si="10"/>
        <v>280.875</v>
      </c>
      <c r="S14" s="32">
        <v>366.9</v>
      </c>
      <c r="T14" s="32">
        <f t="shared" si="11"/>
        <v>303.90675000000005</v>
      </c>
      <c r="U14" s="32">
        <v>397</v>
      </c>
      <c r="V14" s="7">
        <f t="shared" si="12"/>
        <v>0</v>
      </c>
      <c r="W14" s="4">
        <f t="shared" si="13"/>
        <v>262.5</v>
      </c>
      <c r="X14" s="6">
        <f t="shared" si="14"/>
        <v>262.5</v>
      </c>
      <c r="Y14" s="2"/>
      <c r="Z14" s="2"/>
      <c r="AA14" s="2"/>
      <c r="AB14" s="2"/>
      <c r="AC14" s="2"/>
      <c r="AD14" s="2"/>
      <c r="AE14" s="2"/>
      <c r="AF14" s="5">
        <f t="shared" si="15"/>
        <v>0</v>
      </c>
      <c r="AG14" s="6">
        <f t="shared" si="16"/>
        <v>164</v>
      </c>
      <c r="AH14" s="4">
        <f t="shared" si="17"/>
        <v>0</v>
      </c>
      <c r="AI14" s="47">
        <f t="shared" si="18"/>
        <v>241.3</v>
      </c>
    </row>
    <row r="15" spans="1:35">
      <c r="A15" s="2" t="s">
        <v>28</v>
      </c>
      <c r="B15" s="2"/>
      <c r="C15" s="2">
        <f t="shared" si="0"/>
        <v>6</v>
      </c>
      <c r="D15" s="2">
        <v>0</v>
      </c>
      <c r="E15" s="2">
        <v>0</v>
      </c>
      <c r="F15" s="2">
        <v>6</v>
      </c>
      <c r="G15" s="2">
        <f t="shared" si="3"/>
        <v>30</v>
      </c>
      <c r="H15" s="2">
        <f t="shared" si="4"/>
        <v>0</v>
      </c>
      <c r="I15" s="2">
        <f t="shared" si="5"/>
        <v>0</v>
      </c>
      <c r="J15" s="3">
        <f t="shared" si="6"/>
        <v>30</v>
      </c>
      <c r="K15" s="3">
        <v>0</v>
      </c>
      <c r="L15" s="3">
        <v>3985</v>
      </c>
      <c r="M15" s="4">
        <f t="shared" si="1"/>
        <v>0</v>
      </c>
      <c r="N15" s="4">
        <f t="shared" si="7"/>
        <v>0</v>
      </c>
      <c r="O15" s="5">
        <f t="shared" si="8"/>
        <v>375</v>
      </c>
      <c r="P15" s="6">
        <f t="shared" si="9"/>
        <v>375</v>
      </c>
      <c r="Q15" s="6">
        <f t="shared" si="2"/>
        <v>375</v>
      </c>
      <c r="R15" s="32">
        <f t="shared" si="10"/>
        <v>401.25</v>
      </c>
      <c r="S15" s="32">
        <v>524.20000000000005</v>
      </c>
      <c r="T15" s="32">
        <f t="shared" si="11"/>
        <v>434.15250000000003</v>
      </c>
      <c r="U15" s="32">
        <v>567.20000000000005</v>
      </c>
      <c r="V15" s="7">
        <f t="shared" si="12"/>
        <v>0</v>
      </c>
      <c r="W15" s="4">
        <f t="shared" si="13"/>
        <v>375</v>
      </c>
      <c r="X15" s="6">
        <f t="shared" si="14"/>
        <v>375</v>
      </c>
      <c r="Y15" s="2"/>
      <c r="Z15" s="2"/>
      <c r="AA15" s="2"/>
      <c r="AB15" s="2"/>
      <c r="AC15" s="2"/>
      <c r="AD15" s="2"/>
      <c r="AE15" s="2"/>
      <c r="AF15" s="5">
        <f t="shared" si="15"/>
        <v>0</v>
      </c>
      <c r="AG15" s="6">
        <f t="shared" si="16"/>
        <v>234.2</v>
      </c>
      <c r="AH15" s="4">
        <f t="shared" si="17"/>
        <v>0</v>
      </c>
      <c r="AI15" s="47">
        <f t="shared" si="18"/>
        <v>344.7</v>
      </c>
    </row>
    <row r="16" spans="1:35">
      <c r="A16" s="2" t="s">
        <v>29</v>
      </c>
      <c r="B16" s="2"/>
      <c r="C16" s="2">
        <f t="shared" si="0"/>
        <v>14</v>
      </c>
      <c r="D16" s="2">
        <v>0</v>
      </c>
      <c r="E16" s="2">
        <v>2</v>
      </c>
      <c r="F16" s="2">
        <v>12</v>
      </c>
      <c r="G16" s="2">
        <f t="shared" si="3"/>
        <v>72</v>
      </c>
      <c r="H16" s="2">
        <f t="shared" si="4"/>
        <v>0</v>
      </c>
      <c r="I16" s="2">
        <f t="shared" si="5"/>
        <v>12</v>
      </c>
      <c r="J16" s="3">
        <f t="shared" si="6"/>
        <v>60</v>
      </c>
      <c r="K16" s="3">
        <v>0</v>
      </c>
      <c r="L16" s="3">
        <v>3985</v>
      </c>
      <c r="M16" s="4">
        <f t="shared" si="1"/>
        <v>0</v>
      </c>
      <c r="N16" s="4">
        <f t="shared" si="7"/>
        <v>0</v>
      </c>
      <c r="O16" s="5">
        <f t="shared" si="8"/>
        <v>900</v>
      </c>
      <c r="P16" s="6">
        <f t="shared" si="9"/>
        <v>900</v>
      </c>
      <c r="Q16" s="6">
        <f t="shared" si="2"/>
        <v>900</v>
      </c>
      <c r="R16" s="32">
        <f t="shared" si="10"/>
        <v>963</v>
      </c>
      <c r="S16" s="32">
        <v>1258.0999999999999</v>
      </c>
      <c r="T16" s="32">
        <f t="shared" si="11"/>
        <v>1041.9660000000001</v>
      </c>
      <c r="U16" s="32">
        <v>1361.3</v>
      </c>
      <c r="V16" s="7">
        <f t="shared" si="12"/>
        <v>0</v>
      </c>
      <c r="W16" s="4">
        <f t="shared" si="13"/>
        <v>900</v>
      </c>
      <c r="X16" s="6">
        <f t="shared" si="14"/>
        <v>900</v>
      </c>
      <c r="Y16" s="2"/>
      <c r="Z16" s="2"/>
      <c r="AA16" s="2"/>
      <c r="AB16" s="2"/>
      <c r="AC16" s="2"/>
      <c r="AD16" s="2"/>
      <c r="AE16" s="2"/>
      <c r="AF16" s="5">
        <f t="shared" si="15"/>
        <v>0</v>
      </c>
      <c r="AG16" s="6">
        <f t="shared" si="16"/>
        <v>562.20000000000005</v>
      </c>
      <c r="AH16" s="4">
        <f t="shared" si="17"/>
        <v>0</v>
      </c>
      <c r="AI16" s="47">
        <f t="shared" si="18"/>
        <v>827.3</v>
      </c>
    </row>
    <row r="17" spans="1:35">
      <c r="A17" s="2" t="s">
        <v>30</v>
      </c>
      <c r="B17" s="2"/>
      <c r="C17" s="2">
        <f t="shared" si="0"/>
        <v>3</v>
      </c>
      <c r="D17" s="2">
        <v>0</v>
      </c>
      <c r="E17" s="2">
        <v>1</v>
      </c>
      <c r="F17" s="2">
        <v>2</v>
      </c>
      <c r="G17" s="2">
        <f t="shared" si="3"/>
        <v>16</v>
      </c>
      <c r="H17" s="2">
        <f t="shared" si="4"/>
        <v>0</v>
      </c>
      <c r="I17" s="2">
        <f t="shared" si="5"/>
        <v>6</v>
      </c>
      <c r="J17" s="3">
        <f t="shared" si="6"/>
        <v>10</v>
      </c>
      <c r="K17" s="3">
        <v>0</v>
      </c>
      <c r="L17" s="3">
        <v>3985</v>
      </c>
      <c r="M17" s="4">
        <f t="shared" si="1"/>
        <v>0</v>
      </c>
      <c r="N17" s="4">
        <f t="shared" si="7"/>
        <v>0</v>
      </c>
      <c r="O17" s="5">
        <f t="shared" si="8"/>
        <v>200</v>
      </c>
      <c r="P17" s="6">
        <f t="shared" si="9"/>
        <v>200</v>
      </c>
      <c r="Q17" s="6">
        <f t="shared" si="2"/>
        <v>200</v>
      </c>
      <c r="R17" s="32">
        <f t="shared" si="10"/>
        <v>214</v>
      </c>
      <c r="S17" s="32">
        <v>279.60000000000002</v>
      </c>
      <c r="T17" s="32">
        <f t="shared" si="11"/>
        <v>231.548</v>
      </c>
      <c r="U17" s="32">
        <v>302.5</v>
      </c>
      <c r="V17" s="7">
        <f t="shared" si="12"/>
        <v>0</v>
      </c>
      <c r="W17" s="4">
        <f t="shared" si="13"/>
        <v>200</v>
      </c>
      <c r="X17" s="6">
        <f t="shared" si="14"/>
        <v>200</v>
      </c>
      <c r="Y17" s="2"/>
      <c r="Z17" s="2"/>
      <c r="AA17" s="2"/>
      <c r="AB17" s="2"/>
      <c r="AC17" s="2"/>
      <c r="AD17" s="2"/>
      <c r="AE17" s="2"/>
      <c r="AF17" s="5">
        <f t="shared" si="15"/>
        <v>0</v>
      </c>
      <c r="AG17" s="6">
        <f t="shared" si="16"/>
        <v>124.9</v>
      </c>
      <c r="AH17" s="4">
        <f t="shared" si="17"/>
        <v>0</v>
      </c>
      <c r="AI17" s="47">
        <f t="shared" si="18"/>
        <v>183.8</v>
      </c>
    </row>
    <row r="18" spans="1:35">
      <c r="A18" s="51" t="s">
        <v>31</v>
      </c>
      <c r="B18" s="51"/>
      <c r="C18" s="2">
        <f>SUM(D18:F18)</f>
        <v>8</v>
      </c>
      <c r="D18" s="2">
        <v>0</v>
      </c>
      <c r="E18" s="2">
        <v>2</v>
      </c>
      <c r="F18" s="2">
        <v>6</v>
      </c>
      <c r="G18" s="2">
        <f t="shared" si="3"/>
        <v>42</v>
      </c>
      <c r="H18" s="2">
        <f>11*D18</f>
        <v>0</v>
      </c>
      <c r="I18" s="2">
        <f>6*E18</f>
        <v>12</v>
      </c>
      <c r="J18" s="3">
        <f>5*F18</f>
        <v>30</v>
      </c>
      <c r="K18" s="3">
        <v>0</v>
      </c>
      <c r="L18" s="3">
        <v>3985</v>
      </c>
      <c r="M18" s="4">
        <f t="shared" si="1"/>
        <v>0</v>
      </c>
      <c r="N18" s="4">
        <f t="shared" si="7"/>
        <v>0</v>
      </c>
      <c r="O18" s="5">
        <f t="shared" si="8"/>
        <v>525</v>
      </c>
      <c r="P18" s="6">
        <f>M18+N18+O18</f>
        <v>525</v>
      </c>
      <c r="Q18" s="6">
        <f t="shared" si="2"/>
        <v>525</v>
      </c>
      <c r="R18" s="32">
        <f t="shared" si="10"/>
        <v>561.75</v>
      </c>
      <c r="S18" s="32">
        <v>733.9</v>
      </c>
      <c r="T18" s="32">
        <f t="shared" si="11"/>
        <v>607.81350000000009</v>
      </c>
      <c r="U18" s="32">
        <v>794.1</v>
      </c>
      <c r="V18" s="7">
        <f t="shared" si="12"/>
        <v>0</v>
      </c>
      <c r="W18" s="4">
        <f t="shared" si="13"/>
        <v>525</v>
      </c>
      <c r="X18" s="6">
        <f t="shared" si="14"/>
        <v>525</v>
      </c>
      <c r="Y18" s="2"/>
      <c r="Z18" s="2"/>
      <c r="AA18" s="2"/>
      <c r="AB18" s="2"/>
      <c r="AC18" s="2"/>
      <c r="AD18" s="2"/>
      <c r="AE18" s="2"/>
      <c r="AF18" s="5">
        <f t="shared" si="15"/>
        <v>0</v>
      </c>
      <c r="AG18" s="6">
        <f t="shared" si="16"/>
        <v>327.9</v>
      </c>
      <c r="AH18" s="4">
        <f t="shared" si="17"/>
        <v>0</v>
      </c>
      <c r="AI18" s="47">
        <f t="shared" si="18"/>
        <v>482.6</v>
      </c>
    </row>
    <row r="19" spans="1:35">
      <c r="A19" s="2" t="s">
        <v>32</v>
      </c>
      <c r="B19" s="2"/>
      <c r="C19" s="2">
        <f t="shared" si="0"/>
        <v>15</v>
      </c>
      <c r="D19" s="2">
        <v>0</v>
      </c>
      <c r="E19" s="2">
        <v>0</v>
      </c>
      <c r="F19" s="2">
        <v>15</v>
      </c>
      <c r="G19" s="2">
        <f t="shared" si="3"/>
        <v>75</v>
      </c>
      <c r="H19" s="2">
        <f t="shared" si="4"/>
        <v>0</v>
      </c>
      <c r="I19" s="2">
        <f t="shared" si="5"/>
        <v>0</v>
      </c>
      <c r="J19" s="3">
        <f t="shared" si="6"/>
        <v>75</v>
      </c>
      <c r="K19" s="3">
        <v>0</v>
      </c>
      <c r="L19" s="3">
        <v>3985</v>
      </c>
      <c r="M19" s="4">
        <f t="shared" si="1"/>
        <v>0</v>
      </c>
      <c r="N19" s="4">
        <f t="shared" si="7"/>
        <v>0</v>
      </c>
      <c r="O19" s="5">
        <f t="shared" si="8"/>
        <v>937.5</v>
      </c>
      <c r="P19" s="6">
        <f t="shared" si="9"/>
        <v>937.5</v>
      </c>
      <c r="Q19" s="6">
        <f t="shared" si="2"/>
        <v>937.5</v>
      </c>
      <c r="R19" s="32">
        <f t="shared" si="10"/>
        <v>1003.1250000000001</v>
      </c>
      <c r="S19" s="32">
        <v>1310.5</v>
      </c>
      <c r="T19" s="32">
        <f t="shared" si="11"/>
        <v>1085.3812500000001</v>
      </c>
      <c r="U19" s="32">
        <v>1418</v>
      </c>
      <c r="V19" s="7">
        <f t="shared" si="12"/>
        <v>0</v>
      </c>
      <c r="W19" s="4">
        <f t="shared" si="13"/>
        <v>937.5</v>
      </c>
      <c r="X19" s="6">
        <f t="shared" si="14"/>
        <v>937.5</v>
      </c>
      <c r="Y19" s="2"/>
      <c r="Z19" s="2"/>
      <c r="AA19" s="2"/>
      <c r="AB19" s="2"/>
      <c r="AC19" s="2"/>
      <c r="AD19" s="2"/>
      <c r="AE19" s="2"/>
      <c r="AF19" s="5">
        <f t="shared" si="15"/>
        <v>0</v>
      </c>
      <c r="AG19" s="6">
        <f t="shared" si="16"/>
        <v>585.6</v>
      </c>
      <c r="AH19" s="4">
        <f t="shared" si="17"/>
        <v>0</v>
      </c>
      <c r="AI19" s="47">
        <f t="shared" si="18"/>
        <v>861.8</v>
      </c>
    </row>
    <row r="20" spans="1:35">
      <c r="A20" s="2" t="s">
        <v>33</v>
      </c>
      <c r="B20" s="2"/>
      <c r="C20" s="2">
        <f t="shared" si="0"/>
        <v>17</v>
      </c>
      <c r="D20" s="2">
        <v>0</v>
      </c>
      <c r="E20" s="2">
        <v>4</v>
      </c>
      <c r="F20" s="2">
        <v>13</v>
      </c>
      <c r="G20" s="2">
        <f t="shared" si="3"/>
        <v>89</v>
      </c>
      <c r="H20" s="2">
        <f t="shared" si="4"/>
        <v>0</v>
      </c>
      <c r="I20" s="2">
        <f t="shared" si="5"/>
        <v>24</v>
      </c>
      <c r="J20" s="3">
        <f t="shared" si="6"/>
        <v>65</v>
      </c>
      <c r="K20" s="3">
        <v>0</v>
      </c>
      <c r="L20" s="3">
        <v>3985</v>
      </c>
      <c r="M20" s="4">
        <f t="shared" si="1"/>
        <v>0</v>
      </c>
      <c r="N20" s="4">
        <f t="shared" si="7"/>
        <v>0</v>
      </c>
      <c r="O20" s="5">
        <f t="shared" si="8"/>
        <v>1112.5</v>
      </c>
      <c r="P20" s="6">
        <f t="shared" si="9"/>
        <v>1112.5</v>
      </c>
      <c r="Q20" s="6">
        <f t="shared" si="2"/>
        <v>1112.5</v>
      </c>
      <c r="R20" s="32">
        <f t="shared" si="10"/>
        <v>1190.375</v>
      </c>
      <c r="S20" s="32">
        <v>1625</v>
      </c>
      <c r="T20" s="32">
        <f t="shared" si="11"/>
        <v>1287.9857500000001</v>
      </c>
      <c r="U20" s="32">
        <v>1758.3</v>
      </c>
      <c r="V20" s="7">
        <f t="shared" si="12"/>
        <v>0</v>
      </c>
      <c r="W20" s="4">
        <f t="shared" si="13"/>
        <v>1112.5</v>
      </c>
      <c r="X20" s="6">
        <f t="shared" si="14"/>
        <v>1112.5</v>
      </c>
      <c r="Y20" s="2"/>
      <c r="Z20" s="2"/>
      <c r="AA20" s="2"/>
      <c r="AB20" s="2"/>
      <c r="AC20" s="2"/>
      <c r="AD20" s="2"/>
      <c r="AE20" s="2"/>
      <c r="AF20" s="5">
        <f t="shared" si="15"/>
        <v>0</v>
      </c>
      <c r="AG20" s="6">
        <f t="shared" si="16"/>
        <v>694.9</v>
      </c>
      <c r="AH20" s="4">
        <f t="shared" si="17"/>
        <v>0</v>
      </c>
      <c r="AI20" s="47">
        <f t="shared" si="18"/>
        <v>1022.6</v>
      </c>
    </row>
    <row r="21" spans="1:35">
      <c r="A21" s="50" t="s">
        <v>34</v>
      </c>
      <c r="B21" s="50"/>
      <c r="C21" s="2">
        <f t="shared" si="0"/>
        <v>19</v>
      </c>
      <c r="D21" s="2">
        <v>0</v>
      </c>
      <c r="E21" s="2">
        <v>0</v>
      </c>
      <c r="F21" s="2">
        <v>19</v>
      </c>
      <c r="G21" s="2">
        <f t="shared" si="3"/>
        <v>95</v>
      </c>
      <c r="H21" s="2">
        <f t="shared" si="4"/>
        <v>0</v>
      </c>
      <c r="I21" s="2">
        <f t="shared" si="5"/>
        <v>0</v>
      </c>
      <c r="J21" s="3">
        <f t="shared" si="6"/>
        <v>95</v>
      </c>
      <c r="K21" s="3">
        <v>0</v>
      </c>
      <c r="L21" s="3">
        <v>3985</v>
      </c>
      <c r="M21" s="4">
        <f t="shared" si="1"/>
        <v>0</v>
      </c>
      <c r="N21" s="4">
        <f t="shared" si="7"/>
        <v>0</v>
      </c>
      <c r="O21" s="5">
        <f t="shared" si="8"/>
        <v>1187.5</v>
      </c>
      <c r="P21" s="6">
        <f t="shared" si="9"/>
        <v>1187.5</v>
      </c>
      <c r="Q21" s="6">
        <f t="shared" si="2"/>
        <v>1187.5</v>
      </c>
      <c r="R21" s="32">
        <f t="shared" si="10"/>
        <v>1270.625</v>
      </c>
      <c r="S21" s="32">
        <v>1660</v>
      </c>
      <c r="T21" s="32">
        <f t="shared" si="11"/>
        <v>1374.8162500000001</v>
      </c>
      <c r="U21" s="32">
        <v>1796.1</v>
      </c>
      <c r="V21" s="7">
        <f t="shared" si="12"/>
        <v>0</v>
      </c>
      <c r="W21" s="4">
        <f t="shared" si="13"/>
        <v>1187.5</v>
      </c>
      <c r="X21" s="6">
        <f t="shared" si="14"/>
        <v>1187.5</v>
      </c>
      <c r="Y21" s="2"/>
      <c r="Z21" s="2"/>
      <c r="AA21" s="2"/>
      <c r="AB21" s="2"/>
      <c r="AC21" s="2"/>
      <c r="AD21" s="2"/>
      <c r="AE21" s="2"/>
      <c r="AF21" s="5">
        <f t="shared" si="15"/>
        <v>0</v>
      </c>
      <c r="AG21" s="6">
        <f t="shared" si="16"/>
        <v>741.7</v>
      </c>
      <c r="AH21" s="4">
        <f t="shared" si="17"/>
        <v>0</v>
      </c>
      <c r="AI21" s="47">
        <f t="shared" si="18"/>
        <v>1091.5999999999999</v>
      </c>
    </row>
    <row r="22" spans="1:35" ht="14.25" customHeight="1">
      <c r="A22" s="2" t="s">
        <v>35</v>
      </c>
      <c r="B22" s="2"/>
      <c r="C22" s="2">
        <f>SUM(D22:F22)</f>
        <v>16</v>
      </c>
      <c r="D22" s="2">
        <v>0</v>
      </c>
      <c r="E22" s="2">
        <v>1</v>
      </c>
      <c r="F22" s="2">
        <v>15</v>
      </c>
      <c r="G22" s="2">
        <f t="shared" si="3"/>
        <v>81</v>
      </c>
      <c r="H22" s="2">
        <f>11*D22</f>
        <v>0</v>
      </c>
      <c r="I22" s="2">
        <f>6*E22</f>
        <v>6</v>
      </c>
      <c r="J22" s="3">
        <f>5*F22</f>
        <v>75</v>
      </c>
      <c r="K22" s="3">
        <v>0</v>
      </c>
      <c r="L22" s="3">
        <v>3985</v>
      </c>
      <c r="M22" s="4">
        <f t="shared" si="1"/>
        <v>0</v>
      </c>
      <c r="N22" s="4">
        <f t="shared" si="7"/>
        <v>0</v>
      </c>
      <c r="O22" s="5">
        <f t="shared" si="8"/>
        <v>1012.5</v>
      </c>
      <c r="P22" s="6">
        <f t="shared" si="9"/>
        <v>1012.5</v>
      </c>
      <c r="Q22" s="6">
        <f t="shared" si="2"/>
        <v>1012.5</v>
      </c>
      <c r="R22" s="32">
        <f t="shared" si="10"/>
        <v>1083.375</v>
      </c>
      <c r="S22" s="32">
        <v>1415.4</v>
      </c>
      <c r="T22" s="32">
        <f t="shared" si="11"/>
        <v>1172.2117500000002</v>
      </c>
      <c r="U22" s="32">
        <v>1531.4</v>
      </c>
      <c r="V22" s="7">
        <f t="shared" si="12"/>
        <v>0</v>
      </c>
      <c r="W22" s="4">
        <f t="shared" si="13"/>
        <v>1012.5</v>
      </c>
      <c r="X22" s="6">
        <f t="shared" si="14"/>
        <v>1012.5</v>
      </c>
      <c r="Y22" s="2"/>
      <c r="Z22" s="2"/>
      <c r="AA22" s="2"/>
      <c r="AB22" s="2"/>
      <c r="AC22" s="2"/>
      <c r="AD22" s="2"/>
      <c r="AE22" s="2"/>
      <c r="AF22" s="5">
        <f t="shared" si="15"/>
        <v>0</v>
      </c>
      <c r="AG22" s="6">
        <f t="shared" si="16"/>
        <v>632.4</v>
      </c>
      <c r="AH22" s="4">
        <f t="shared" si="17"/>
        <v>0</v>
      </c>
      <c r="AI22" s="47">
        <f t="shared" si="18"/>
        <v>930.7</v>
      </c>
    </row>
    <row r="23" spans="1:35">
      <c r="A23" s="2" t="s">
        <v>36</v>
      </c>
      <c r="B23" s="2"/>
      <c r="C23" s="2">
        <f>SUM(D23:F23)</f>
        <v>18</v>
      </c>
      <c r="D23" s="2">
        <v>0</v>
      </c>
      <c r="E23" s="2">
        <v>0</v>
      </c>
      <c r="F23" s="2">
        <v>18</v>
      </c>
      <c r="G23" s="2">
        <f t="shared" si="3"/>
        <v>90</v>
      </c>
      <c r="H23" s="2">
        <f>11*D23</f>
        <v>0</v>
      </c>
      <c r="I23" s="2">
        <f>6*E23</f>
        <v>0</v>
      </c>
      <c r="J23" s="3">
        <f>5*F23</f>
        <v>90</v>
      </c>
      <c r="K23" s="3">
        <v>0</v>
      </c>
      <c r="L23" s="3">
        <v>3985</v>
      </c>
      <c r="M23" s="4">
        <f t="shared" si="1"/>
        <v>0</v>
      </c>
      <c r="N23" s="4">
        <f t="shared" si="7"/>
        <v>0</v>
      </c>
      <c r="O23" s="5">
        <f t="shared" si="8"/>
        <v>1125</v>
      </c>
      <c r="P23" s="6">
        <f t="shared" si="9"/>
        <v>1125</v>
      </c>
      <c r="Q23" s="6">
        <f t="shared" si="2"/>
        <v>1125</v>
      </c>
      <c r="R23" s="32">
        <f t="shared" si="10"/>
        <v>1203.75</v>
      </c>
      <c r="S23" s="32">
        <v>1572.6</v>
      </c>
      <c r="T23" s="32">
        <f t="shared" si="11"/>
        <v>1302.4575</v>
      </c>
      <c r="U23" s="32">
        <v>1701.6</v>
      </c>
      <c r="V23" s="7">
        <f t="shared" si="12"/>
        <v>0</v>
      </c>
      <c r="W23" s="4">
        <f t="shared" si="13"/>
        <v>1125</v>
      </c>
      <c r="X23" s="6">
        <f t="shared" si="14"/>
        <v>1125</v>
      </c>
      <c r="Y23" s="2"/>
      <c r="Z23" s="2"/>
      <c r="AA23" s="2"/>
      <c r="AB23" s="2"/>
      <c r="AC23" s="2"/>
      <c r="AD23" s="2"/>
      <c r="AE23" s="2"/>
      <c r="AF23" s="5">
        <f t="shared" si="15"/>
        <v>0</v>
      </c>
      <c r="AG23" s="6">
        <f t="shared" si="16"/>
        <v>702.7</v>
      </c>
      <c r="AH23" s="4">
        <f t="shared" si="17"/>
        <v>0</v>
      </c>
      <c r="AI23" s="47">
        <f t="shared" si="18"/>
        <v>1034.0999999999999</v>
      </c>
    </row>
    <row r="24" spans="1:35">
      <c r="A24" s="2" t="s">
        <v>37</v>
      </c>
      <c r="B24" s="2"/>
      <c r="C24" s="2">
        <v>9</v>
      </c>
      <c r="D24" s="2">
        <v>0</v>
      </c>
      <c r="E24" s="2">
        <v>1</v>
      </c>
      <c r="F24" s="2">
        <v>8</v>
      </c>
      <c r="G24" s="2">
        <f t="shared" si="3"/>
        <v>46</v>
      </c>
      <c r="H24" s="2">
        <f t="shared" si="4"/>
        <v>0</v>
      </c>
      <c r="I24" s="2">
        <f t="shared" si="5"/>
        <v>6</v>
      </c>
      <c r="J24" s="3">
        <f t="shared" si="6"/>
        <v>40</v>
      </c>
      <c r="K24" s="3">
        <v>0</v>
      </c>
      <c r="L24" s="3">
        <v>3985</v>
      </c>
      <c r="M24" s="4">
        <f t="shared" si="1"/>
        <v>0</v>
      </c>
      <c r="N24" s="4">
        <f t="shared" si="7"/>
        <v>0</v>
      </c>
      <c r="O24" s="5">
        <f t="shared" si="8"/>
        <v>575</v>
      </c>
      <c r="P24" s="6">
        <f t="shared" si="9"/>
        <v>575</v>
      </c>
      <c r="Q24" s="6">
        <f t="shared" si="2"/>
        <v>575</v>
      </c>
      <c r="R24" s="32">
        <f t="shared" si="10"/>
        <v>615.25</v>
      </c>
      <c r="S24" s="32">
        <v>1065.9000000000001</v>
      </c>
      <c r="T24" s="32">
        <f t="shared" si="11"/>
        <v>665.70050000000003</v>
      </c>
      <c r="U24" s="32">
        <v>1153.3</v>
      </c>
      <c r="V24" s="7">
        <f t="shared" si="12"/>
        <v>0</v>
      </c>
      <c r="W24" s="4">
        <f t="shared" si="13"/>
        <v>575</v>
      </c>
      <c r="X24" s="6">
        <f t="shared" si="14"/>
        <v>575</v>
      </c>
      <c r="Y24" s="2"/>
      <c r="Z24" s="2"/>
      <c r="AA24" s="2"/>
      <c r="AB24" s="2"/>
      <c r="AC24" s="2"/>
      <c r="AD24" s="2"/>
      <c r="AE24" s="2"/>
      <c r="AF24" s="5">
        <f t="shared" si="15"/>
        <v>0</v>
      </c>
      <c r="AG24" s="6">
        <f t="shared" si="16"/>
        <v>359.2</v>
      </c>
      <c r="AH24" s="4">
        <f t="shared" si="17"/>
        <v>0</v>
      </c>
      <c r="AI24" s="47">
        <f t="shared" si="18"/>
        <v>528.5</v>
      </c>
    </row>
    <row r="25" spans="1:35">
      <c r="A25" s="2" t="s">
        <v>38</v>
      </c>
      <c r="B25" s="2"/>
      <c r="C25" s="2">
        <f t="shared" ref="C25:C30" si="19">SUM(D25:F25)</f>
        <v>8</v>
      </c>
      <c r="D25" s="2">
        <v>8</v>
      </c>
      <c r="E25" s="2">
        <v>0</v>
      </c>
      <c r="F25" s="2">
        <v>0</v>
      </c>
      <c r="G25" s="2">
        <f t="shared" si="3"/>
        <v>56</v>
      </c>
      <c r="H25" s="2">
        <f>7*D25-K25</f>
        <v>48</v>
      </c>
      <c r="I25" s="2">
        <f t="shared" si="5"/>
        <v>0</v>
      </c>
      <c r="J25" s="3">
        <f t="shared" si="6"/>
        <v>0</v>
      </c>
      <c r="K25" s="49">
        <v>8</v>
      </c>
      <c r="L25" s="3">
        <v>3985</v>
      </c>
      <c r="M25" s="5">
        <f>L25*K25*1.7*49*1.302/1000</f>
        <v>3457.5964080000003</v>
      </c>
      <c r="N25" s="4">
        <f>50*K25</f>
        <v>400</v>
      </c>
      <c r="O25" s="5">
        <f t="shared" si="8"/>
        <v>600</v>
      </c>
      <c r="P25" s="6">
        <f t="shared" si="9"/>
        <v>4457.5964080000003</v>
      </c>
      <c r="Q25" s="6">
        <f t="shared" si="2"/>
        <v>4457.6000000000004</v>
      </c>
      <c r="R25" s="32">
        <f t="shared" si="10"/>
        <v>4752.3401745200008</v>
      </c>
      <c r="S25" s="32">
        <v>4857.3999999999996</v>
      </c>
      <c r="T25" s="32">
        <f t="shared" si="11"/>
        <v>5142.032068830641</v>
      </c>
      <c r="U25" s="32">
        <v>5255.8</v>
      </c>
      <c r="V25" s="7">
        <f t="shared" si="12"/>
        <v>3610.9</v>
      </c>
      <c r="W25" s="4">
        <f t="shared" si="13"/>
        <v>1000</v>
      </c>
      <c r="X25" s="6">
        <f t="shared" si="14"/>
        <v>4610.8999999999996</v>
      </c>
      <c r="Y25" s="2"/>
      <c r="Z25" s="2"/>
      <c r="AA25" s="2"/>
      <c r="AB25" s="2"/>
      <c r="AC25" s="2"/>
      <c r="AD25" s="2"/>
      <c r="AE25" s="2"/>
      <c r="AF25" s="5">
        <f t="shared" si="15"/>
        <v>2159.6999999999998</v>
      </c>
      <c r="AG25" s="6">
        <f>ROUND(AF25+O25*$AG$41/100+N25*$AG$41/100,1)-0.3</f>
        <v>2784</v>
      </c>
      <c r="AH25" s="4">
        <f t="shared" si="17"/>
        <v>3178.2</v>
      </c>
      <c r="AI25" s="47">
        <f>ROUND(N25*$AI$41/100+O25*$AI$41/100+AH25,1)-0.1</f>
        <v>4097.2999999999993</v>
      </c>
    </row>
    <row r="26" spans="1:35">
      <c r="A26" s="2" t="s">
        <v>39</v>
      </c>
      <c r="B26" s="2"/>
      <c r="C26" s="2">
        <f>SUM(D26:F26)</f>
        <v>1</v>
      </c>
      <c r="D26" s="2">
        <v>1</v>
      </c>
      <c r="E26" s="2">
        <v>0</v>
      </c>
      <c r="F26" s="2">
        <v>0</v>
      </c>
      <c r="G26" s="2">
        <f t="shared" si="3"/>
        <v>11</v>
      </c>
      <c r="H26" s="3">
        <f>11-K26</f>
        <v>9</v>
      </c>
      <c r="I26" s="2">
        <f>6*E26</f>
        <v>0</v>
      </c>
      <c r="J26" s="3">
        <f>5*F26</f>
        <v>0</v>
      </c>
      <c r="K26" s="3">
        <v>2</v>
      </c>
      <c r="L26" s="3">
        <v>3985</v>
      </c>
      <c r="M26" s="5">
        <f>L26*K26*2.2*49*1.302/1000</f>
        <v>1118.6341319999999</v>
      </c>
      <c r="N26" s="4">
        <f t="shared" ref="N26:N31" si="20">50*K26</f>
        <v>100</v>
      </c>
      <c r="O26" s="5">
        <f t="shared" si="8"/>
        <v>112.5</v>
      </c>
      <c r="P26" s="6">
        <f t="shared" si="9"/>
        <v>1331.1341319999999</v>
      </c>
      <c r="Q26" s="6">
        <f t="shared" si="2"/>
        <v>1331.1</v>
      </c>
      <c r="R26" s="32">
        <f t="shared" si="10"/>
        <v>1418.7203505799998</v>
      </c>
      <c r="S26" s="32">
        <v>804.3</v>
      </c>
      <c r="T26" s="32">
        <f t="shared" si="11"/>
        <v>1535.0554193275598</v>
      </c>
      <c r="U26" s="32">
        <v>870.2</v>
      </c>
      <c r="V26" s="7">
        <f t="shared" si="12"/>
        <v>1168.2</v>
      </c>
      <c r="W26" s="4">
        <f t="shared" si="13"/>
        <v>212.5</v>
      </c>
      <c r="X26" s="6">
        <f t="shared" si="14"/>
        <v>1380.7</v>
      </c>
      <c r="Y26" s="2"/>
      <c r="Z26" s="2"/>
      <c r="AA26" s="2"/>
      <c r="AB26" s="2"/>
      <c r="AC26" s="2"/>
      <c r="AD26" s="2"/>
      <c r="AE26" s="2"/>
      <c r="AF26" s="5">
        <f t="shared" si="15"/>
        <v>698.7</v>
      </c>
      <c r="AG26" s="6">
        <f t="shared" si="16"/>
        <v>831.4</v>
      </c>
      <c r="AH26" s="4">
        <f t="shared" si="17"/>
        <v>1028.3</v>
      </c>
      <c r="AI26" s="47">
        <f t="shared" si="18"/>
        <v>1223.5999999999999</v>
      </c>
    </row>
    <row r="27" spans="1:35">
      <c r="A27" s="2" t="s">
        <v>40</v>
      </c>
      <c r="B27" s="2"/>
      <c r="C27" s="2">
        <v>1</v>
      </c>
      <c r="D27" s="2">
        <v>1</v>
      </c>
      <c r="E27" s="2">
        <v>0</v>
      </c>
      <c r="F27" s="2">
        <v>0</v>
      </c>
      <c r="G27" s="2">
        <f t="shared" si="3"/>
        <v>7</v>
      </c>
      <c r="H27" s="2">
        <f>7*D27-K27</f>
        <v>6</v>
      </c>
      <c r="I27" s="2">
        <f>6*E27</f>
        <v>0</v>
      </c>
      <c r="J27" s="3">
        <f>5*F27</f>
        <v>0</v>
      </c>
      <c r="K27" s="3">
        <v>1</v>
      </c>
      <c r="L27" s="3">
        <v>3985</v>
      </c>
      <c r="M27" s="5">
        <f>L27*K27*1.7*49*1.302/1000</f>
        <v>432.19955100000004</v>
      </c>
      <c r="N27" s="4">
        <f t="shared" si="20"/>
        <v>50</v>
      </c>
      <c r="O27" s="5">
        <f t="shared" si="8"/>
        <v>75</v>
      </c>
      <c r="P27" s="6">
        <f t="shared" si="9"/>
        <v>557.19955100000004</v>
      </c>
      <c r="Q27" s="6">
        <f t="shared" si="2"/>
        <v>557.20000000000005</v>
      </c>
      <c r="R27" s="32">
        <f t="shared" si="10"/>
        <v>594.0425218150001</v>
      </c>
      <c r="S27" s="32">
        <v>1214.4000000000001</v>
      </c>
      <c r="T27" s="32">
        <f t="shared" si="11"/>
        <v>642.75400860383013</v>
      </c>
      <c r="U27" s="32">
        <v>1313.9</v>
      </c>
      <c r="V27" s="7">
        <f t="shared" si="12"/>
        <v>451.4</v>
      </c>
      <c r="W27" s="4">
        <f t="shared" si="13"/>
        <v>125</v>
      </c>
      <c r="X27" s="6">
        <f t="shared" si="14"/>
        <v>576.4</v>
      </c>
      <c r="Y27" s="2"/>
      <c r="Z27" s="2"/>
      <c r="AA27" s="2"/>
      <c r="AB27" s="2"/>
      <c r="AC27" s="2"/>
      <c r="AD27" s="2"/>
      <c r="AE27" s="2"/>
      <c r="AF27" s="5">
        <f t="shared" si="15"/>
        <v>270</v>
      </c>
      <c r="AG27" s="6">
        <f t="shared" si="16"/>
        <v>348.1</v>
      </c>
      <c r="AH27" s="4">
        <f t="shared" si="17"/>
        <v>397.3</v>
      </c>
      <c r="AI27" s="47">
        <f t="shared" si="18"/>
        <v>512.20000000000005</v>
      </c>
    </row>
    <row r="28" spans="1:35">
      <c r="A28" s="2" t="s">
        <v>41</v>
      </c>
      <c r="B28" s="2"/>
      <c r="C28" s="2">
        <f>SUM(D28:F28)</f>
        <v>1</v>
      </c>
      <c r="D28" s="2">
        <v>1</v>
      </c>
      <c r="E28" s="2">
        <v>0</v>
      </c>
      <c r="F28" s="2">
        <v>0</v>
      </c>
      <c r="G28" s="2">
        <f t="shared" si="3"/>
        <v>7</v>
      </c>
      <c r="H28" s="2">
        <f>7*D28-K28</f>
        <v>6</v>
      </c>
      <c r="I28" s="2">
        <f>6*E28</f>
        <v>0</v>
      </c>
      <c r="J28" s="3">
        <f>5*F28</f>
        <v>0</v>
      </c>
      <c r="K28" s="3">
        <v>1</v>
      </c>
      <c r="L28" s="3">
        <v>3985</v>
      </c>
      <c r="M28" s="5">
        <f>L28*K28*1.7*49*1.302/1000</f>
        <v>432.19955100000004</v>
      </c>
      <c r="N28" s="4">
        <f t="shared" si="20"/>
        <v>50</v>
      </c>
      <c r="O28" s="5">
        <f t="shared" si="8"/>
        <v>75</v>
      </c>
      <c r="P28" s="6">
        <f t="shared" si="9"/>
        <v>557.19955100000004</v>
      </c>
      <c r="Q28" s="6">
        <f t="shared" si="2"/>
        <v>557.20000000000005</v>
      </c>
      <c r="R28" s="32">
        <f t="shared" si="10"/>
        <v>594.0425218150001</v>
      </c>
      <c r="S28" s="32">
        <v>607.20000000000005</v>
      </c>
      <c r="T28" s="32">
        <f t="shared" si="11"/>
        <v>642.75400860383013</v>
      </c>
      <c r="U28" s="32">
        <v>657</v>
      </c>
      <c r="V28" s="7">
        <f t="shared" si="12"/>
        <v>451.4</v>
      </c>
      <c r="W28" s="4">
        <f t="shared" si="13"/>
        <v>125</v>
      </c>
      <c r="X28" s="6">
        <f t="shared" si="14"/>
        <v>576.4</v>
      </c>
      <c r="Y28" s="2"/>
      <c r="Z28" s="2"/>
      <c r="AA28" s="2"/>
      <c r="AB28" s="2"/>
      <c r="AC28" s="2"/>
      <c r="AD28" s="2"/>
      <c r="AE28" s="2"/>
      <c r="AF28" s="5">
        <f t="shared" si="15"/>
        <v>270</v>
      </c>
      <c r="AG28" s="6">
        <f t="shared" si="16"/>
        <v>348.1</v>
      </c>
      <c r="AH28" s="4">
        <f t="shared" si="17"/>
        <v>397.3</v>
      </c>
      <c r="AI28" s="47">
        <f t="shared" si="18"/>
        <v>512.20000000000005</v>
      </c>
    </row>
    <row r="29" spans="1:35">
      <c r="A29" s="2" t="s">
        <v>42</v>
      </c>
      <c r="B29" s="2"/>
      <c r="C29" s="2">
        <f t="shared" si="19"/>
        <v>1</v>
      </c>
      <c r="D29" s="2">
        <v>1</v>
      </c>
      <c r="E29" s="2">
        <v>0</v>
      </c>
      <c r="F29" s="2">
        <v>0</v>
      </c>
      <c r="G29" s="2">
        <f t="shared" si="3"/>
        <v>7</v>
      </c>
      <c r="H29" s="2">
        <f>7*D29-K29</f>
        <v>6</v>
      </c>
      <c r="I29" s="2">
        <f t="shared" si="5"/>
        <v>0</v>
      </c>
      <c r="J29" s="3">
        <f t="shared" si="6"/>
        <v>0</v>
      </c>
      <c r="K29" s="3">
        <v>1</v>
      </c>
      <c r="L29" s="3">
        <v>3985</v>
      </c>
      <c r="M29" s="5">
        <f>L29*K29*1.7*49*1.302/1000</f>
        <v>432.19955100000004</v>
      </c>
      <c r="N29" s="4">
        <f t="shared" si="20"/>
        <v>50</v>
      </c>
      <c r="O29" s="5">
        <f t="shared" si="8"/>
        <v>75</v>
      </c>
      <c r="P29" s="6">
        <f t="shared" si="9"/>
        <v>557.19955100000004</v>
      </c>
      <c r="Q29" s="6">
        <f t="shared" si="2"/>
        <v>557.20000000000005</v>
      </c>
      <c r="R29" s="32">
        <f t="shared" si="10"/>
        <v>594.0425218150001</v>
      </c>
      <c r="S29" s="32">
        <v>607.20000000000005</v>
      </c>
      <c r="T29" s="32">
        <f t="shared" si="11"/>
        <v>642.75400860383013</v>
      </c>
      <c r="U29" s="32">
        <v>657</v>
      </c>
      <c r="V29" s="7">
        <f t="shared" si="12"/>
        <v>451.4</v>
      </c>
      <c r="W29" s="4">
        <f t="shared" si="13"/>
        <v>125</v>
      </c>
      <c r="X29" s="6">
        <f t="shared" si="14"/>
        <v>576.4</v>
      </c>
      <c r="Y29" s="2"/>
      <c r="Z29" s="2"/>
      <c r="AA29" s="2"/>
      <c r="AB29" s="2"/>
      <c r="AC29" s="2"/>
      <c r="AD29" s="2"/>
      <c r="AE29" s="2"/>
      <c r="AF29" s="5">
        <f t="shared" si="15"/>
        <v>270</v>
      </c>
      <c r="AG29" s="6">
        <f t="shared" si="16"/>
        <v>348.1</v>
      </c>
      <c r="AH29" s="4">
        <f t="shared" si="17"/>
        <v>397.3</v>
      </c>
      <c r="AI29" s="47">
        <f t="shared" si="18"/>
        <v>512.20000000000005</v>
      </c>
    </row>
    <row r="30" spans="1:35">
      <c r="A30" s="2" t="s">
        <v>43</v>
      </c>
      <c r="B30" s="2"/>
      <c r="C30" s="2">
        <f t="shared" si="19"/>
        <v>1</v>
      </c>
      <c r="D30" s="2">
        <v>1</v>
      </c>
      <c r="E30" s="2">
        <v>0</v>
      </c>
      <c r="F30" s="2">
        <v>0</v>
      </c>
      <c r="G30" s="2">
        <f t="shared" si="3"/>
        <v>7</v>
      </c>
      <c r="H30" s="2">
        <f>7*D30-K30</f>
        <v>6</v>
      </c>
      <c r="I30" s="2">
        <f t="shared" si="5"/>
        <v>0</v>
      </c>
      <c r="J30" s="3">
        <f t="shared" si="6"/>
        <v>0</v>
      </c>
      <c r="K30" s="3">
        <v>1</v>
      </c>
      <c r="L30" s="3">
        <v>3985</v>
      </c>
      <c r="M30" s="5">
        <f>L30*K30*1.7*49*1.302/1000</f>
        <v>432.19955100000004</v>
      </c>
      <c r="N30" s="4">
        <f t="shared" si="20"/>
        <v>50</v>
      </c>
      <c r="O30" s="5">
        <f t="shared" si="8"/>
        <v>75</v>
      </c>
      <c r="P30" s="6">
        <f t="shared" si="9"/>
        <v>557.19955100000004</v>
      </c>
      <c r="Q30" s="6">
        <f t="shared" si="2"/>
        <v>557.20000000000005</v>
      </c>
      <c r="R30" s="32">
        <f t="shared" si="10"/>
        <v>594.0425218150001</v>
      </c>
      <c r="S30" s="32">
        <v>607.20000000000005</v>
      </c>
      <c r="T30" s="32">
        <f t="shared" si="11"/>
        <v>642.75400860383013</v>
      </c>
      <c r="U30" s="32">
        <v>657</v>
      </c>
      <c r="V30" s="7">
        <f t="shared" si="12"/>
        <v>451.4</v>
      </c>
      <c r="W30" s="4">
        <f t="shared" si="13"/>
        <v>125</v>
      </c>
      <c r="X30" s="6">
        <f t="shared" si="14"/>
        <v>576.4</v>
      </c>
      <c r="Y30" s="2"/>
      <c r="Z30" s="2"/>
      <c r="AA30" s="2"/>
      <c r="AB30" s="2"/>
      <c r="AC30" s="2"/>
      <c r="AD30" s="2"/>
      <c r="AE30" s="2"/>
      <c r="AF30" s="5">
        <f t="shared" si="15"/>
        <v>270</v>
      </c>
      <c r="AG30" s="6">
        <f t="shared" si="16"/>
        <v>348.1</v>
      </c>
      <c r="AH30" s="4">
        <f t="shared" si="17"/>
        <v>397.3</v>
      </c>
      <c r="AI30" s="47">
        <f t="shared" si="18"/>
        <v>512.20000000000005</v>
      </c>
    </row>
    <row r="31" spans="1:35">
      <c r="A31" s="2" t="s">
        <v>44</v>
      </c>
      <c r="B31" s="2"/>
      <c r="C31" s="2">
        <f>SUM(D31:F31)</f>
        <v>1</v>
      </c>
      <c r="D31" s="2">
        <v>1</v>
      </c>
      <c r="E31" s="2">
        <v>0</v>
      </c>
      <c r="F31" s="2">
        <v>0</v>
      </c>
      <c r="G31" s="2">
        <f t="shared" si="3"/>
        <v>4.5</v>
      </c>
      <c r="H31" s="2">
        <v>4</v>
      </c>
      <c r="I31" s="2">
        <f>6*E31</f>
        <v>0</v>
      </c>
      <c r="J31" s="3">
        <f>5*F31</f>
        <v>0</v>
      </c>
      <c r="K31" s="48">
        <v>0.5</v>
      </c>
      <c r="L31" s="3">
        <v>3985</v>
      </c>
      <c r="M31" s="5">
        <f>L31*K31*3*49*1.302/1000</f>
        <v>381.35254500000002</v>
      </c>
      <c r="N31" s="4">
        <f t="shared" si="20"/>
        <v>25</v>
      </c>
      <c r="O31" s="5">
        <f t="shared" si="8"/>
        <v>50</v>
      </c>
      <c r="P31" s="6">
        <f t="shared" si="9"/>
        <v>456.35254500000002</v>
      </c>
      <c r="Q31" s="6">
        <f t="shared" si="2"/>
        <v>456.4</v>
      </c>
      <c r="R31" s="32">
        <f t="shared" si="10"/>
        <v>486.39046042500001</v>
      </c>
      <c r="S31" s="32">
        <v>937.9</v>
      </c>
      <c r="T31" s="32">
        <f t="shared" si="11"/>
        <v>526.27447817985001</v>
      </c>
      <c r="U31" s="32">
        <v>1014.8</v>
      </c>
      <c r="V31" s="7">
        <f t="shared" si="12"/>
        <v>398.3</v>
      </c>
      <c r="W31" s="4">
        <f t="shared" si="13"/>
        <v>75</v>
      </c>
      <c r="X31" s="6">
        <f t="shared" si="14"/>
        <v>473.3</v>
      </c>
      <c r="Y31" s="2"/>
      <c r="Z31" s="2"/>
      <c r="AA31" s="2"/>
      <c r="AB31" s="2"/>
      <c r="AC31" s="2"/>
      <c r="AD31" s="2"/>
      <c r="AE31" s="2"/>
      <c r="AF31" s="5">
        <f t="shared" si="15"/>
        <v>238.2</v>
      </c>
      <c r="AG31" s="6">
        <f t="shared" si="16"/>
        <v>285</v>
      </c>
      <c r="AH31" s="4">
        <f t="shared" si="17"/>
        <v>350.5</v>
      </c>
      <c r="AI31" s="47">
        <f t="shared" si="18"/>
        <v>419.4</v>
      </c>
    </row>
    <row r="32" spans="1:35">
      <c r="A32" s="33"/>
      <c r="B32" s="33"/>
      <c r="C32" s="33"/>
      <c r="D32" s="33"/>
      <c r="E32" s="33"/>
      <c r="F32" s="33"/>
      <c r="G32" s="33"/>
      <c r="H32" s="33"/>
      <c r="I32" s="33"/>
      <c r="J32" s="34"/>
      <c r="K32" s="34"/>
      <c r="L32" s="35"/>
      <c r="M32" s="36"/>
      <c r="N32" s="35"/>
      <c r="O32" s="36"/>
      <c r="P32" s="8"/>
      <c r="Q32" s="8"/>
      <c r="R32" s="37"/>
      <c r="S32" s="37"/>
      <c r="T32" s="37"/>
      <c r="U32" s="37"/>
      <c r="V32" s="9"/>
      <c r="W32" s="8"/>
      <c r="X32" s="8"/>
      <c r="Y32" s="33"/>
      <c r="Z32" s="33"/>
      <c r="AA32" s="33"/>
      <c r="AB32" s="33"/>
      <c r="AC32" s="33"/>
      <c r="AD32" s="33"/>
      <c r="AE32" s="33"/>
      <c r="AF32" s="36"/>
      <c r="AG32" s="8"/>
      <c r="AH32" s="33"/>
      <c r="AI32" s="33"/>
    </row>
    <row r="33" spans="1:35" s="46" customFormat="1" ht="18" customHeight="1">
      <c r="A33" s="39" t="s">
        <v>45</v>
      </c>
      <c r="B33" s="39">
        <f>SUM(B6:B31)</f>
        <v>0</v>
      </c>
      <c r="C33" s="39">
        <f>SUM(C6:C31)</f>
        <v>213</v>
      </c>
      <c r="D33" s="40">
        <f t="shared" ref="D33:U33" si="21">SUM(D6:D31)</f>
        <v>14</v>
      </c>
      <c r="E33" s="40">
        <f t="shared" si="21"/>
        <v>20</v>
      </c>
      <c r="F33" s="40">
        <f t="shared" si="21"/>
        <v>179</v>
      </c>
      <c r="G33" s="40">
        <f t="shared" si="21"/>
        <v>1114.5</v>
      </c>
      <c r="H33" s="40">
        <f t="shared" si="21"/>
        <v>85</v>
      </c>
      <c r="I33" s="40">
        <f t="shared" si="21"/>
        <v>120</v>
      </c>
      <c r="J33" s="40">
        <f t="shared" si="21"/>
        <v>895</v>
      </c>
      <c r="K33" s="41">
        <f t="shared" si="21"/>
        <v>14.5</v>
      </c>
      <c r="L33" s="41"/>
      <c r="M33" s="42">
        <f t="shared" si="21"/>
        <v>6686.381288999999</v>
      </c>
      <c r="N33" s="41">
        <f t="shared" si="21"/>
        <v>725</v>
      </c>
      <c r="O33" s="42">
        <f t="shared" si="21"/>
        <v>13750</v>
      </c>
      <c r="P33" s="43">
        <f>SUM(P6:P31)</f>
        <v>21161.381289000008</v>
      </c>
      <c r="Q33" s="43">
        <f>SUM(Q6:Q31)</f>
        <v>21161.4</v>
      </c>
      <c r="R33" s="44">
        <f t="shared" si="21"/>
        <v>22609.246072785005</v>
      </c>
      <c r="S33" s="44">
        <f t="shared" si="21"/>
        <v>27790.600000000006</v>
      </c>
      <c r="T33" s="44">
        <f t="shared" si="21"/>
        <v>24463.204250753381</v>
      </c>
      <c r="U33" s="44">
        <f t="shared" si="21"/>
        <v>30069.5</v>
      </c>
      <c r="V33" s="43">
        <f>SUM(V6:V31)</f>
        <v>6982.9999999999991</v>
      </c>
      <c r="W33" s="43">
        <f>SUM(W6:W31)</f>
        <v>14475</v>
      </c>
      <c r="X33" s="43">
        <f t="shared" si="14"/>
        <v>21458</v>
      </c>
      <c r="Y33" s="45"/>
      <c r="Z33" s="45"/>
      <c r="AA33" s="45"/>
      <c r="AB33" s="45"/>
      <c r="AC33" s="45"/>
      <c r="AD33" s="45"/>
      <c r="AE33" s="45"/>
      <c r="AF33" s="42">
        <f>SUM(AF6:AF31)</f>
        <v>4176.5999999999995</v>
      </c>
      <c r="AG33" s="43">
        <f>SUM(AG6:AG31)</f>
        <v>13217.7</v>
      </c>
      <c r="AH33" s="43">
        <f t="shared" ref="AH33:AI33" si="22">SUM(AH6:AH31)</f>
        <v>6146.2000000000007</v>
      </c>
      <c r="AI33" s="43">
        <f t="shared" si="22"/>
        <v>19451.600000000006</v>
      </c>
    </row>
    <row r="34" spans="1:35">
      <c r="O34" s="10"/>
      <c r="P34" s="11"/>
      <c r="Q34" s="11"/>
      <c r="V34" s="11"/>
      <c r="W34" s="11"/>
      <c r="X34" s="11"/>
      <c r="AG34" s="11"/>
    </row>
    <row r="35" spans="1:35" s="12" customFormat="1" ht="12.75" hidden="1" customHeight="1">
      <c r="A35" s="12" t="s">
        <v>46</v>
      </c>
      <c r="M35" s="13">
        <v>3402.3</v>
      </c>
      <c r="N35" s="13">
        <v>838.5</v>
      </c>
      <c r="O35" s="14">
        <v>15833.7</v>
      </c>
      <c r="P35" s="15">
        <v>20074.900000000001</v>
      </c>
      <c r="Q35" s="15"/>
      <c r="R35" s="16"/>
      <c r="S35" s="16"/>
      <c r="T35" s="17"/>
      <c r="U35" s="17"/>
      <c r="V35" s="15"/>
      <c r="W35" s="15"/>
      <c r="X35" s="15"/>
      <c r="AG35" s="15"/>
    </row>
    <row r="36" spans="1:35" ht="13.15" hidden="1" customHeight="1">
      <c r="A36" t="s">
        <v>47</v>
      </c>
      <c r="O36" s="10"/>
      <c r="P36" s="11"/>
      <c r="Q36" s="11">
        <v>25316.5</v>
      </c>
      <c r="S36" s="1">
        <v>28346.2</v>
      </c>
      <c r="U36" s="1">
        <v>30670.6</v>
      </c>
      <c r="V36" s="11"/>
      <c r="W36" s="11"/>
      <c r="X36" s="11"/>
      <c r="AG36" s="11"/>
    </row>
    <row r="37" spans="1:35" ht="13.15" hidden="1" customHeight="1">
      <c r="O37" s="10"/>
      <c r="P37" s="11"/>
      <c r="Q37" s="11"/>
      <c r="V37" s="11"/>
      <c r="W37" s="11"/>
      <c r="X37" s="11"/>
      <c r="AG37" s="11"/>
    </row>
    <row r="38" spans="1:35" ht="13.15" hidden="1" customHeight="1">
      <c r="A38" t="s">
        <v>48</v>
      </c>
      <c r="M38" s="18"/>
      <c r="N38" s="18"/>
      <c r="O38" s="10"/>
      <c r="P38" s="11"/>
      <c r="Q38" s="10">
        <f>Q33-Q36</f>
        <v>-4155.0999999999985</v>
      </c>
      <c r="S38" s="18">
        <f>S33-S36</f>
        <v>-555.59999999999491</v>
      </c>
      <c r="T38" s="18">
        <f>T33-T36</f>
        <v>24463.204250753381</v>
      </c>
      <c r="U38" s="18">
        <f>U33-U36</f>
        <v>-601.09999999999854</v>
      </c>
      <c r="V38" s="10"/>
      <c r="W38" s="10"/>
      <c r="X38" s="10"/>
      <c r="AG38" s="10"/>
    </row>
    <row r="39" spans="1:35" ht="13.15" hidden="1" customHeight="1">
      <c r="O39" s="10"/>
      <c r="P39" s="11"/>
      <c r="Q39" s="11"/>
      <c r="V39" s="11"/>
      <c r="W39" s="11"/>
      <c r="X39" s="11"/>
      <c r="AG39" s="11"/>
    </row>
    <row r="40" spans="1:35" ht="13.15" hidden="1" customHeight="1">
      <c r="O40" s="10"/>
      <c r="P40" s="11"/>
      <c r="Q40" s="11"/>
      <c r="V40" s="11"/>
      <c r="W40" s="11"/>
      <c r="X40" s="11"/>
      <c r="AG40" s="11"/>
    </row>
    <row r="41" spans="1:35">
      <c r="Q41" s="11"/>
      <c r="AG41" s="52">
        <v>62.461368</v>
      </c>
      <c r="AI41" s="52">
        <v>91.920411000000001</v>
      </c>
    </row>
    <row r="42" spans="1:35">
      <c r="AG42" s="1">
        <v>13217.7</v>
      </c>
      <c r="AI42">
        <v>19451.599999999999</v>
      </c>
    </row>
    <row r="43" spans="1:35">
      <c r="AG43" s="11">
        <f>AG42-AG33</f>
        <v>0</v>
      </c>
      <c r="AI43" s="10">
        <f>AI42-AI33</f>
        <v>0</v>
      </c>
    </row>
  </sheetData>
  <mergeCells count="25">
    <mergeCell ref="G3:G4"/>
    <mergeCell ref="A1:AI1"/>
    <mergeCell ref="A3:A4"/>
    <mergeCell ref="B3:B4"/>
    <mergeCell ref="C3:C4"/>
    <mergeCell ref="D3:F3"/>
    <mergeCell ref="V3:V4"/>
    <mergeCell ref="W3:W4"/>
    <mergeCell ref="X3:X4"/>
    <mergeCell ref="R3:R4"/>
    <mergeCell ref="S3:S4"/>
    <mergeCell ref="T3:T4"/>
    <mergeCell ref="U3:U4"/>
    <mergeCell ref="N3:N4"/>
    <mergeCell ref="O3:O4"/>
    <mergeCell ref="P3:P4"/>
    <mergeCell ref="Q3:Q4"/>
    <mergeCell ref="AH3:AH4"/>
    <mergeCell ref="AI3:AI4"/>
    <mergeCell ref="H3:J3"/>
    <mergeCell ref="K3:K4"/>
    <mergeCell ref="L3:L4"/>
    <mergeCell ref="AF3:AF4"/>
    <mergeCell ref="AG3:AG4"/>
    <mergeCell ref="M3:M4"/>
  </mergeCells>
  <phoneticPr fontId="5" type="noConversion"/>
  <pageMargins left="0.31496062992125984" right="0.19685039370078741" top="0.43307086614173229" bottom="0.23622047244094491" header="0.15748031496062992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kibta</dc:creator>
  <cp:lastModifiedBy>User</cp:lastModifiedBy>
  <cp:lastPrinted>2014-10-11T06:24:14Z</cp:lastPrinted>
  <dcterms:created xsi:type="dcterms:W3CDTF">2012-08-16T07:34:15Z</dcterms:created>
  <dcterms:modified xsi:type="dcterms:W3CDTF">2014-10-11T06:24:15Z</dcterms:modified>
</cp:coreProperties>
</file>