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43.bin" ContentType="application/vnd.openxmlformats-officedocument.oleObject"/>
  <Override PartName="/xl/embeddings/oleObject61.bin" ContentType="application/vnd.openxmlformats-officedocument.oleObject"/>
  <Override PartName="/xl/embeddings/oleObject90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50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embeddings/oleObject2.bin" ContentType="application/vnd.openxmlformats-officedocument.oleObject"/>
  <Override PartName="/xl/embeddings/oleObject79.bin" ContentType="application/vnd.openxmlformats-officedocument.oleObject"/>
  <Override PartName="/xl/embeddings/oleObject88.bin" ContentType="application/vnd.openxmlformats-officedocument.oleObject"/>
  <Override PartName="/xl/embeddings/oleObject99.bin" ContentType="application/vnd.openxmlformats-officedocument.oleObject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68.bin" ContentType="application/vnd.openxmlformats-officedocument.oleObject"/>
  <Override PartName="/xl/embeddings/oleObject77.bin" ContentType="application/vnd.openxmlformats-officedocument.oleObject"/>
  <Override PartName="/xl/embeddings/oleObject86.bin" ContentType="application/vnd.openxmlformats-officedocument.oleObject"/>
  <Override PartName="/xl/embeddings/oleObject95.bin" ContentType="application/vnd.openxmlformats-officedocument.oleObject"/>
  <Override PartName="/xl/embeddings/oleObject97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37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66.bin" ContentType="application/vnd.openxmlformats-officedocument.oleObject"/>
  <Override PartName="/xl/embeddings/oleObject75.bin" ContentType="application/vnd.openxmlformats-officedocument.oleObject"/>
  <Override PartName="/xl/embeddings/oleObject84.bin" ContentType="application/vnd.openxmlformats-officedocument.oleObject"/>
  <Override PartName="/xl/embeddings/oleObject93.bin" ContentType="application/vnd.openxmlformats-officedocument.oleObject"/>
  <Override PartName="/xl/embeddings/oleObject9.bin" ContentType="application/vnd.openxmlformats-officedocument.oleObject"/>
  <Override PartName="/xl/embeddings/oleObject17.bin" ContentType="application/vnd.openxmlformats-officedocument.oleObject"/>
  <Override PartName="/xl/embeddings/oleObject26.bin" ContentType="application/vnd.openxmlformats-officedocument.oleObject"/>
  <Override PartName="/xl/embeddings/oleObject35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64.bin" ContentType="application/vnd.openxmlformats-officedocument.oleObject"/>
  <Override PartName="/xl/embeddings/oleObject73.bin" ContentType="application/vnd.openxmlformats-officedocument.oleObject"/>
  <Override PartName="/xl/embeddings/oleObject82.bin" ContentType="application/vnd.openxmlformats-officedocument.oleObject"/>
  <Override PartName="/xl/embeddings/oleObject91.bin" ContentType="application/vnd.openxmlformats-officedocument.oleObject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62.bin" ContentType="application/vnd.openxmlformats-officedocument.oleObject"/>
  <Override PartName="/xl/embeddings/oleObject71.bin" ContentType="application/vnd.openxmlformats-officedocument.oleObject"/>
  <Override PartName="/xl/embeddings/oleObject80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60.bin" ContentType="application/vnd.openxmlformats-officedocument.oleObject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mbeddings/oleObject69.bin" ContentType="application/vnd.openxmlformats-officedocument.oleObject"/>
  <Override PartName="/xl/embeddings/oleObject89.bin" ContentType="application/vnd.openxmlformats-officedocument.oleObject"/>
  <Override PartName="/xl/embeddings/oleObject98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87.bin" ContentType="application/vnd.openxmlformats-officedocument.oleObject"/>
  <Override PartName="/xl/embeddings/oleObject96.bin" ContentType="application/vnd.openxmlformats-officedocument.oleObject"/>
  <Override PartName="/xl/calcChain.xml" ContentType="application/vnd.openxmlformats-officedocument.spreadsheetml.calcChain+xml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38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85.bin" ContentType="application/vnd.openxmlformats-officedocument.oleObject"/>
  <Override PartName="/xl/embeddings/oleObject94.bin" ContentType="application/vnd.openxmlformats-officedocument.oleObject"/>
  <Override PartName="/xl/embeddings/oleObject16.bin" ContentType="application/vnd.openxmlformats-officedocument.oleObject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embeddings/oleObject36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63.bin" ContentType="application/vnd.openxmlformats-officedocument.oleObject"/>
  <Override PartName="/xl/embeddings/oleObject72.bin" ContentType="application/vnd.openxmlformats-officedocument.oleObject"/>
  <Override PartName="/xl/embeddings/oleObject74.bin" ContentType="application/vnd.openxmlformats-officedocument.oleObject"/>
  <Override PartName="/xl/embeddings/oleObject83.bin" ContentType="application/vnd.openxmlformats-officedocument.oleObject"/>
  <Override PartName="/xl/embeddings/oleObject92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30.bin" ContentType="application/vnd.openxmlformats-officedocument.oleObject"/>
  <Override PartName="/xl/embeddings/oleObject100.bin" ContentType="application/vnd.openxmlformats-officedocument.oleObject"/>
  <Default Extension="wmf" ContentType="image/x-wmf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90" windowWidth="11355" windowHeight="5640" firstSheet="1" activeTab="1"/>
  </bookViews>
  <sheets>
    <sheet name="выравнивание" sheetId="107" state="hidden" r:id="rId1"/>
    <sheet name="СВМЗ" sheetId="113" r:id="rId2"/>
  </sheets>
  <definedNames>
    <definedName name="_xlnm.Print_Titles" localSheetId="1">СВМЗ!$B:$B,СВМЗ!$6:$7</definedName>
    <definedName name="_xlnm.Print_Area" localSheetId="0">выравнивание!$B$1:$AC$40</definedName>
    <definedName name="_xlnm.Print_Area" localSheetId="1">СВМЗ!$B$5:$AC$30</definedName>
  </definedNames>
  <calcPr calcId="125725"/>
</workbook>
</file>

<file path=xl/calcChain.xml><?xml version="1.0" encoding="utf-8"?>
<calcChain xmlns="http://schemas.openxmlformats.org/spreadsheetml/2006/main">
  <c r="D26" i="113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C26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C9"/>
  <c r="AC17"/>
  <c r="AC28" l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C18"/>
  <c r="AC9" l="1"/>
  <c r="AC14"/>
  <c r="AC27"/>
  <c r="AC11"/>
  <c r="AC12"/>
  <c r="AC13"/>
  <c r="AC15"/>
  <c r="AC16"/>
  <c r="AC20"/>
  <c r="AC6" i="107"/>
  <c r="C8"/>
  <c r="D8"/>
  <c r="E8"/>
  <c r="AC8" s="1"/>
  <c r="F8"/>
  <c r="F16" s="1"/>
  <c r="F18" s="1"/>
  <c r="G8"/>
  <c r="G16" s="1"/>
  <c r="G18" s="1"/>
  <c r="H8"/>
  <c r="H16" s="1"/>
  <c r="H18" s="1"/>
  <c r="I8"/>
  <c r="I16" s="1"/>
  <c r="I18" s="1"/>
  <c r="J8"/>
  <c r="J16" s="1"/>
  <c r="J18" s="1"/>
  <c r="K8"/>
  <c r="L8"/>
  <c r="M8"/>
  <c r="N8"/>
  <c r="N16" s="1"/>
  <c r="N18" s="1"/>
  <c r="O8"/>
  <c r="O16" s="1"/>
  <c r="O18" s="1"/>
  <c r="P8"/>
  <c r="P16" s="1"/>
  <c r="P18" s="1"/>
  <c r="Q8"/>
  <c r="Q16" s="1"/>
  <c r="Q18" s="1"/>
  <c r="R8"/>
  <c r="R16" s="1"/>
  <c r="R18" s="1"/>
  <c r="S8"/>
  <c r="T8"/>
  <c r="U8"/>
  <c r="V8"/>
  <c r="V16" s="1"/>
  <c r="V18" s="1"/>
  <c r="W8"/>
  <c r="W16" s="1"/>
  <c r="W18" s="1"/>
  <c r="X8"/>
  <c r="Y8"/>
  <c r="Z8"/>
  <c r="AA8"/>
  <c r="AB8"/>
  <c r="AC9"/>
  <c r="AC10"/>
  <c r="C12"/>
  <c r="C16" s="1"/>
  <c r="D12"/>
  <c r="D16" s="1"/>
  <c r="D18" s="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Z16" s="1"/>
  <c r="Z18" s="1"/>
  <c r="AA12"/>
  <c r="AA16" s="1"/>
  <c r="AA18" s="1"/>
  <c r="AB12"/>
  <c r="AC13"/>
  <c r="AC14"/>
  <c r="AC15"/>
  <c r="E16"/>
  <c r="E18" s="1"/>
  <c r="K16"/>
  <c r="L16"/>
  <c r="M16"/>
  <c r="S16"/>
  <c r="T16"/>
  <c r="U16"/>
  <c r="U18"/>
  <c r="X16"/>
  <c r="X18"/>
  <c r="Y16"/>
  <c r="Y18"/>
  <c r="AB16"/>
  <c r="AB18"/>
  <c r="AC17"/>
  <c r="K18"/>
  <c r="L18"/>
  <c r="M18"/>
  <c r="S18"/>
  <c r="T18"/>
  <c r="AC24"/>
  <c r="AC26"/>
  <c r="K27" s="1"/>
  <c r="K28" s="1"/>
  <c r="I27"/>
  <c r="I28" s="1"/>
  <c r="M27"/>
  <c r="M28" s="1"/>
  <c r="Y27"/>
  <c r="Y28" s="1"/>
  <c r="D27"/>
  <c r="D28" s="1"/>
  <c r="P27"/>
  <c r="P28" s="1"/>
  <c r="T27"/>
  <c r="T28" s="1"/>
  <c r="Z25" i="113"/>
  <c r="Y25"/>
  <c r="O25"/>
  <c r="Q25"/>
  <c r="D25"/>
  <c r="AB25"/>
  <c r="AB29" s="1"/>
  <c r="L25"/>
  <c r="K25"/>
  <c r="N25"/>
  <c r="E25"/>
  <c r="V25"/>
  <c r="T25"/>
  <c r="G25"/>
  <c r="W25"/>
  <c r="AA25"/>
  <c r="P25"/>
  <c r="F25"/>
  <c r="X25"/>
  <c r="J25"/>
  <c r="I25"/>
  <c r="R25"/>
  <c r="S25"/>
  <c r="M25"/>
  <c r="AC16" i="107" l="1"/>
  <c r="AC18" s="1"/>
  <c r="C18"/>
  <c r="F19"/>
  <c r="F21" s="1"/>
  <c r="T19"/>
  <c r="T21" s="1"/>
  <c r="Y19"/>
  <c r="Y21" s="1"/>
  <c r="AA19"/>
  <c r="AA21" s="1"/>
  <c r="P19"/>
  <c r="P21" s="1"/>
  <c r="H19"/>
  <c r="H21" s="1"/>
  <c r="Q19"/>
  <c r="Q21" s="1"/>
  <c r="I19"/>
  <c r="I21" s="1"/>
  <c r="V27"/>
  <c r="V28" s="1"/>
  <c r="V29" s="1"/>
  <c r="F27"/>
  <c r="F28" s="1"/>
  <c r="O27"/>
  <c r="O28" s="1"/>
  <c r="AC12"/>
  <c r="X27"/>
  <c r="X28" s="1"/>
  <c r="H27"/>
  <c r="H28" s="1"/>
  <c r="Q27"/>
  <c r="Q28" s="1"/>
  <c r="Z27"/>
  <c r="Z28" s="1"/>
  <c r="Z29" s="1"/>
  <c r="J27"/>
  <c r="J28" s="1"/>
  <c r="S27"/>
  <c r="S28" s="1"/>
  <c r="C27"/>
  <c r="AB27"/>
  <c r="AB28" s="1"/>
  <c r="L27"/>
  <c r="L28" s="1"/>
  <c r="U27"/>
  <c r="U28" s="1"/>
  <c r="E27"/>
  <c r="E28" s="1"/>
  <c r="N27"/>
  <c r="N28" s="1"/>
  <c r="W27"/>
  <c r="W28" s="1"/>
  <c r="W29" s="1"/>
  <c r="G27"/>
  <c r="G28" s="1"/>
  <c r="R27"/>
  <c r="R28" s="1"/>
  <c r="AA27"/>
  <c r="AA28" s="1"/>
  <c r="AA29" s="1"/>
  <c r="L29" i="113"/>
  <c r="L30" s="1"/>
  <c r="D29"/>
  <c r="D30" s="1"/>
  <c r="R29"/>
  <c r="R30" s="1"/>
  <c r="J29"/>
  <c r="J30" s="1"/>
  <c r="X29"/>
  <c r="X30" s="1"/>
  <c r="F29"/>
  <c r="F30" s="1"/>
  <c r="P29"/>
  <c r="P30" s="1"/>
  <c r="T29"/>
  <c r="T30" s="1"/>
  <c r="V29"/>
  <c r="V30" s="1"/>
  <c r="N29"/>
  <c r="N30" s="1"/>
  <c r="Z29"/>
  <c r="Z30" s="1"/>
  <c r="AC26"/>
  <c r="M29"/>
  <c r="M30" s="1"/>
  <c r="S29"/>
  <c r="S30" s="1"/>
  <c r="I29"/>
  <c r="I30" s="1"/>
  <c r="AA29"/>
  <c r="AA30" s="1"/>
  <c r="W29"/>
  <c r="W30" s="1"/>
  <c r="G29"/>
  <c r="G30" s="1"/>
  <c r="E29"/>
  <c r="E30" s="1"/>
  <c r="K29"/>
  <c r="K30" s="1"/>
  <c r="Q29"/>
  <c r="Q30" s="1"/>
  <c r="O29"/>
  <c r="O30" s="1"/>
  <c r="Y29"/>
  <c r="Y30" s="1"/>
  <c r="AC18"/>
  <c r="H25"/>
  <c r="U25"/>
  <c r="AC22"/>
  <c r="AC21"/>
  <c r="C28" i="107" l="1"/>
  <c r="AC28" s="1"/>
  <c r="AC27"/>
  <c r="AA34"/>
  <c r="S19"/>
  <c r="S21" s="1"/>
  <c r="M19"/>
  <c r="M21" s="1"/>
  <c r="U19"/>
  <c r="U21" s="1"/>
  <c r="X19"/>
  <c r="X21" s="1"/>
  <c r="K19"/>
  <c r="K21" s="1"/>
  <c r="AB19"/>
  <c r="AB21" s="1"/>
  <c r="AC19"/>
  <c r="AC21" s="1"/>
  <c r="R19"/>
  <c r="R21" s="1"/>
  <c r="W19"/>
  <c r="W21" s="1"/>
  <c r="C19"/>
  <c r="C21" s="1"/>
  <c r="J19"/>
  <c r="J21" s="1"/>
  <c r="O19"/>
  <c r="O21" s="1"/>
  <c r="Z19"/>
  <c r="Z21" s="1"/>
  <c r="L19"/>
  <c r="L21" s="1"/>
  <c r="G19"/>
  <c r="G21" s="1"/>
  <c r="V19"/>
  <c r="V21" s="1"/>
  <c r="E19"/>
  <c r="E21" s="1"/>
  <c r="D19"/>
  <c r="D21" s="1"/>
  <c r="N19"/>
  <c r="N21" s="1"/>
  <c r="F33"/>
  <c r="U29" i="113"/>
  <c r="U30" s="1"/>
  <c r="H29"/>
  <c r="H30" s="1"/>
  <c r="C25"/>
  <c r="W34" i="107" l="1"/>
  <c r="D33"/>
  <c r="M34"/>
  <c r="U33"/>
  <c r="O33"/>
  <c r="Z34"/>
  <c r="L33"/>
  <c r="AB34"/>
  <c r="AC25" i="113"/>
  <c r="C29"/>
  <c r="C30" s="1"/>
  <c r="AC30" s="1"/>
  <c r="AC34" i="107" l="1"/>
  <c r="AC33"/>
  <c r="AC29" i="113"/>
  <c r="AC35" i="107" l="1"/>
  <c r="AC37" l="1"/>
  <c r="AC36"/>
  <c r="F38" l="1"/>
  <c r="F39" s="1"/>
  <c r="F40" s="1"/>
  <c r="H38"/>
  <c r="H39" s="1"/>
  <c r="H40" s="1"/>
  <c r="AA38"/>
  <c r="AA39" s="1"/>
  <c r="AA40" s="1"/>
  <c r="I38"/>
  <c r="I39" s="1"/>
  <c r="I40" s="1"/>
  <c r="P38"/>
  <c r="P39" s="1"/>
  <c r="P40" s="1"/>
  <c r="Y38"/>
  <c r="Y39" s="1"/>
  <c r="Y40" s="1"/>
  <c r="T38"/>
  <c r="T39" s="1"/>
  <c r="T40" s="1"/>
  <c r="Q38"/>
  <c r="Q39" s="1"/>
  <c r="Q40" s="1"/>
  <c r="M38"/>
  <c r="M39" s="1"/>
  <c r="M40" s="1"/>
  <c r="C38"/>
  <c r="Z38"/>
  <c r="Z39" s="1"/>
  <c r="Z40" s="1"/>
  <c r="W38"/>
  <c r="W39" s="1"/>
  <c r="W40" s="1"/>
  <c r="U38"/>
  <c r="U39" s="1"/>
  <c r="U40" s="1"/>
  <c r="X38"/>
  <c r="X39" s="1"/>
  <c r="X40" s="1"/>
  <c r="L38"/>
  <c r="L39" s="1"/>
  <c r="L40" s="1"/>
  <c r="R38"/>
  <c r="R39" s="1"/>
  <c r="R40" s="1"/>
  <c r="E38"/>
  <c r="E39" s="1"/>
  <c r="E40" s="1"/>
  <c r="J38"/>
  <c r="J39" s="1"/>
  <c r="J40" s="1"/>
  <c r="D38"/>
  <c r="D39" s="1"/>
  <c r="D40" s="1"/>
  <c r="O38"/>
  <c r="O39" s="1"/>
  <c r="O40" s="1"/>
  <c r="V38"/>
  <c r="V39" s="1"/>
  <c r="V40" s="1"/>
  <c r="N38"/>
  <c r="N39" s="1"/>
  <c r="N40" s="1"/>
  <c r="S38"/>
  <c r="S39" s="1"/>
  <c r="S40" s="1"/>
  <c r="K38"/>
  <c r="K39" s="1"/>
  <c r="K40" s="1"/>
  <c r="G38"/>
  <c r="G39" s="1"/>
  <c r="G40" s="1"/>
  <c r="AB38"/>
  <c r="AB39" s="1"/>
  <c r="AB40" s="1"/>
  <c r="C39" l="1"/>
  <c r="AC38"/>
  <c r="AC39" l="1"/>
  <c r="C40"/>
</calcChain>
</file>

<file path=xl/sharedStrings.xml><?xml version="1.0" encoding="utf-8"?>
<sst xmlns="http://schemas.openxmlformats.org/spreadsheetml/2006/main" count="115" uniqueCount="86">
  <si>
    <t xml:space="preserve">         НАИМЕНОВАНИЕ  ПОКАЗАТЕЛЕЙ            </t>
  </si>
  <si>
    <t xml:space="preserve">ВЕЛЬСК </t>
  </si>
  <si>
    <t>В-ТОЕМСК</t>
  </si>
  <si>
    <t>ВИЛЕГОД</t>
  </si>
  <si>
    <t>ВИНОГР</t>
  </si>
  <si>
    <t>КАРГОП</t>
  </si>
  <si>
    <t>КОНОШ</t>
  </si>
  <si>
    <t>КОТЛАС р.</t>
  </si>
  <si>
    <t>КРАСНОБ</t>
  </si>
  <si>
    <t>ЛЕНСКИЙ</t>
  </si>
  <si>
    <t>ЛЕШУКОН</t>
  </si>
  <si>
    <t>МЕЗЕНСК</t>
  </si>
  <si>
    <t>НЯНДОМ</t>
  </si>
  <si>
    <t>ПИНЕЖСК</t>
  </si>
  <si>
    <t xml:space="preserve">ПЛЕСЕЦК </t>
  </si>
  <si>
    <t>ПРИМОРСК</t>
  </si>
  <si>
    <t>УСТЬЯНСК</t>
  </si>
  <si>
    <t>ХОЛМОГОР</t>
  </si>
  <si>
    <t>ШЕНКУРСК</t>
  </si>
  <si>
    <t>АРХАНГ</t>
  </si>
  <si>
    <t>СЕВEРОДВ</t>
  </si>
  <si>
    <t xml:space="preserve">КОТЛАС </t>
  </si>
  <si>
    <t>НОВОДВ</t>
  </si>
  <si>
    <t>КОРЯЖМА</t>
  </si>
  <si>
    <t>МИРНЫЙ</t>
  </si>
  <si>
    <t>НОВ. ЗЕМЛЯ</t>
  </si>
  <si>
    <t xml:space="preserve"> ИТОГО </t>
  </si>
  <si>
    <t>ОНЕЖСК</t>
  </si>
  <si>
    <t xml:space="preserve"> НАЛОГ на ДОХОДЫ ФИЗИЧЕСКИХ ЛИЦ (НДФЛ)- контингент</t>
  </si>
  <si>
    <t>норматив отчислений</t>
  </si>
  <si>
    <t>ОТЧИСЛЕНИЯ НАЛОГА на ДОХОДЫ ФИЗИЧЕСКИХ ЛИЦ</t>
  </si>
  <si>
    <t xml:space="preserve">ОТЧИСЛЕНИЯ ЕДИНОГО СЕЛЬХОЗНАЛОГА </t>
  </si>
  <si>
    <t xml:space="preserve"> ЕДИНЫЙ НАЛОГ на ВМЕНЕННЫЙ ДОХОД  </t>
  </si>
  <si>
    <t xml:space="preserve">ИТОГО налоговых ДОХОДОВ </t>
  </si>
  <si>
    <t>Среднедушевые налоговые доходы</t>
  </si>
  <si>
    <t>Распределение дотаций на выравнивание бюджетной обеспеченности муниципальных районов (городских округов) (по уровню бюджетной обеспеченности)</t>
  </si>
  <si>
    <t>Индекс налогового потенциала (ИНП)</t>
  </si>
  <si>
    <t>Индекс бюджетных расходов (ИБР)</t>
  </si>
  <si>
    <t>Бюджетная обеспеченность (БО)</t>
  </si>
  <si>
    <t>ЕДИНЫЙ  СЕЛЬХОЗНАЛОГ (ЕСХН) - контингент</t>
  </si>
  <si>
    <t xml:space="preserve">НАЛОГ, ВЗИМАЕМЫЙ В СВЯЗИ С ПРИМЕНЕНИЕМ ПАТЕНТНОЙ СИСТЕМЫ НАЛОГООБЛОЖЕНИЯ </t>
  </si>
  <si>
    <t>Распределение дотаций на выравнивание бюджетной обеспеченности поселений</t>
  </si>
  <si>
    <t>1. Расчет критерия выравнивания финансовых возможностей поселений</t>
  </si>
  <si>
    <t>1. Расчет критерия выравнивания расчетной бюджетной обеспеченности муниципальных районов (городских округов)</t>
  </si>
  <si>
    <r>
      <t xml:space="preserve">Среднее значение бюджетной обеспеченности 5 </t>
    </r>
    <r>
      <rPr>
        <b/>
        <sz val="11"/>
        <rFont val="Arial Cyr"/>
        <charset val="204"/>
      </rPr>
      <t>наиболее обеспеченных</t>
    </r>
    <r>
      <rPr>
        <sz val="11"/>
        <rFont val="Arial Cyr"/>
        <charset val="204"/>
      </rPr>
      <t xml:space="preserve"> муниципальных образований</t>
    </r>
  </si>
  <si>
    <r>
      <rPr>
        <b/>
        <sz val="11"/>
        <rFont val="Arial Cyr"/>
        <charset val="204"/>
      </rPr>
      <t>Среднее значение</t>
    </r>
    <r>
      <rPr>
        <sz val="11"/>
        <rFont val="Arial Cyr"/>
        <charset val="204"/>
      </rPr>
      <t xml:space="preserve"> бюджетной обеспеченности =(5 наим.обесп. + 5 наиб.обесп.)/2</t>
    </r>
  </si>
  <si>
    <r>
      <rPr>
        <b/>
        <sz val="11"/>
        <rFont val="Arial Cyr"/>
        <charset val="204"/>
      </rPr>
      <t>Коэффициент индексации</t>
    </r>
    <r>
      <rPr>
        <sz val="11"/>
        <rFont val="Arial Cyr"/>
        <charset val="204"/>
      </rPr>
      <t xml:space="preserve"> среднего значения бюджетной обеспеченности</t>
    </r>
  </si>
  <si>
    <r>
      <rPr>
        <b/>
        <sz val="11"/>
        <rFont val="Arial Cyr"/>
        <charset val="204"/>
      </rPr>
      <t xml:space="preserve">Критерий выравнивания </t>
    </r>
    <r>
      <rPr>
        <sz val="11"/>
        <rFont val="Arial Cyr"/>
        <charset val="204"/>
      </rPr>
      <t>( = среднее значение бюджетной обеспеченности * коэффициент индексации)</t>
    </r>
  </si>
  <si>
    <r>
      <t xml:space="preserve">РАСЧЕТ РАСПРЕДЕЛЕНИЯ ДОТАЦИЙ НА ВЫРАВНИВАНИЕ БЮДЖЕТНОЙ ОБЕСПЕЧЕННОСТИ ПОСЕЛЕНИЙ И ДОТАЦИЙ НА ВЫРАВНИВАНИЕ БЮДЖЕТНОЙ ОБЕСПЕЧЕННОСТИ МУНИЦИПАЛЬНЫХ РАЙОНОВ (ГОРОДСКИХ ОКРУГОВ) АРХАНГЕЛЬСКОЙ ОБЛАСТИ НА </t>
    </r>
    <r>
      <rPr>
        <b/>
        <sz val="14"/>
        <rFont val="Arial Cyr"/>
        <family val="2"/>
        <charset val="204"/>
      </rPr>
      <t>2014</t>
    </r>
    <r>
      <rPr>
        <b/>
        <sz val="12"/>
        <rFont val="Arial Cyr"/>
        <family val="2"/>
        <charset val="204"/>
      </rPr>
      <t xml:space="preserve"> ГОД  , тыс.рублей </t>
    </r>
  </si>
  <si>
    <t>Численность населения на 01.01.2013, тыс.чел</t>
  </si>
  <si>
    <r>
      <t xml:space="preserve">2. Расчет дотаций на выравнивание бюджетной обеспеченности поселений  на 2014 год </t>
    </r>
    <r>
      <rPr>
        <sz val="11"/>
        <rFont val="Arial Cyr"/>
        <charset val="204"/>
      </rPr>
      <t>(= критерий выравнивания * численность населения на 01.01.2013)</t>
    </r>
  </si>
  <si>
    <t>2. Расчет дотаций на выравнивание бюджетной обеспеченности муниципальных районов (городских округов) на 2014 год</t>
  </si>
  <si>
    <t xml:space="preserve"> ИТОГО</t>
  </si>
  <si>
    <t>в том числе:</t>
  </si>
  <si>
    <t xml:space="preserve"> АКЦИЗЫ НА НЕФТЕПРОДУКТЫ (по дифференцированным нормативам)</t>
  </si>
  <si>
    <t xml:space="preserve"> в том числе:</t>
  </si>
  <si>
    <r>
      <t>дотации бюджету муниципального образования  на выравнивание бюджетной обеспеченности поселений</t>
    </r>
    <r>
      <rPr>
        <i/>
        <sz val="13.5"/>
        <rFont val="Times New Roman"/>
        <family val="1"/>
        <charset val="204"/>
      </rPr>
      <t xml:space="preserve"> </t>
    </r>
  </si>
  <si>
    <r>
      <t>дотации бюджету муниципального образования  на выравнивание бюджетной обеспеченности муниципальных районов (городских округов)</t>
    </r>
    <r>
      <rPr>
        <i/>
        <sz val="13.5"/>
        <rFont val="Times New Roman"/>
        <family val="1"/>
        <charset val="204"/>
      </rPr>
      <t xml:space="preserve"> </t>
    </r>
  </si>
  <si>
    <t>Субсидия на софинансирование вопросов местного значения</t>
  </si>
  <si>
    <t>3. Распределение дотации на выравнивание бюджетной обеспеченности поселений на 2014 год</t>
  </si>
  <si>
    <t>3. Распределение дотации на выравнивание бюджетной обеспеченности муниципальных районов (городских округов) на 2014 год</t>
  </si>
  <si>
    <t>СПРАВОЧНО: бюджетная обеспеченность после выравнивания</t>
  </si>
  <si>
    <t xml:space="preserve">Потребность местных бюджетов в средствах для обеспечения сбалансированности с учетом роста расходных обязательств </t>
  </si>
  <si>
    <t>Дополнительный норматив отчислений от НДФЛ, заменяющий дотацию на выравнивание бюджетной обеспеченности поселений</t>
  </si>
  <si>
    <r>
      <t>ГОСПОШЛИНА</t>
    </r>
    <r>
      <rPr>
        <sz val="10"/>
        <rFont val="Arial Cyr"/>
        <charset val="204"/>
      </rPr>
      <t xml:space="preserve"> </t>
    </r>
  </si>
  <si>
    <r>
      <rPr>
        <b/>
        <sz val="11"/>
        <rFont val="Arial Cyr"/>
        <charset val="204"/>
      </rPr>
      <t>Базовое значение критерия выравнивания</t>
    </r>
    <r>
      <rPr>
        <sz val="10"/>
        <rFont val="Arial Cyr"/>
        <charset val="204"/>
      </rPr>
      <t>, рассчитанное исходя из объема дотаций на 2013 год (294 365,4 тыс.рублей) и численности населения на 01.01.2012, использованной в расчете дотаций на 2013 год ( 1 171,096 тыс.чел)</t>
    </r>
  </si>
  <si>
    <r>
      <rPr>
        <b/>
        <sz val="10"/>
        <rFont val="Arial Cyr"/>
        <charset val="204"/>
      </rPr>
      <t xml:space="preserve">Коэффициент индексации </t>
    </r>
    <r>
      <rPr>
        <sz val="10"/>
        <rFont val="Arial Cyr"/>
        <charset val="204"/>
      </rPr>
      <t>базового значения критерия выравнивая</t>
    </r>
  </si>
  <si>
    <r>
      <t xml:space="preserve">Критерий выравнивания финансовых возможностей поселений на 2014 год </t>
    </r>
    <r>
      <rPr>
        <sz val="10"/>
        <rFont val="Arial Cyr"/>
        <charset val="204"/>
      </rPr>
      <t>(= базовое значение * коэффициент индексации)</t>
    </r>
  </si>
  <si>
    <r>
      <t xml:space="preserve">Среднее значение бюджетной обеспеченности 5 </t>
    </r>
    <r>
      <rPr>
        <b/>
        <sz val="10"/>
        <rFont val="Arial Cyr"/>
        <charset val="204"/>
      </rPr>
      <t>наименее обеспеченных</t>
    </r>
    <r>
      <rPr>
        <sz val="10"/>
        <rFont val="Arial Cyr"/>
        <charset val="204"/>
      </rPr>
      <t xml:space="preserve"> муниципальных образований</t>
    </r>
  </si>
  <si>
    <t>тыс. рублей</t>
  </si>
  <si>
    <t>Расчет субсидии бюджетам муниципальных образований на софинансирование вопросов местного значения на 2015 год</t>
  </si>
  <si>
    <t>Расчетные доходы бюджета муниципального образования в 2014 году</t>
  </si>
  <si>
    <r>
      <t>дотации бюджету  муниципального образования  на выравнивание бюджетной обеспеченности поселений</t>
    </r>
    <r>
      <rPr>
        <i/>
        <sz val="13.5"/>
        <rFont val="Times New Roman"/>
        <family val="1"/>
        <charset val="204"/>
      </rPr>
      <t xml:space="preserve"> (расчетный объем дотаций на 2014 год, утвержденный областным законом об областном бюджете)</t>
    </r>
  </si>
  <si>
    <r>
      <t>дотации бюджету  муниципального образования  на выравнивание бюджетной обеспеченности муниципальных районов (городских округов)</t>
    </r>
    <r>
      <rPr>
        <i/>
        <sz val="13.5"/>
        <rFont val="Times New Roman"/>
        <family val="1"/>
        <charset val="204"/>
      </rPr>
      <t xml:space="preserve"> (утверждено на 2014 год областным законом об областном бюджете)</t>
    </r>
  </si>
  <si>
    <r>
      <t>субсидия на софинансирование вопросов местного значения</t>
    </r>
    <r>
      <rPr>
        <i/>
        <sz val="13.5"/>
        <rFont val="Arial Cyr"/>
        <charset val="204"/>
      </rPr>
      <t xml:space="preserve"> </t>
    </r>
    <r>
      <rPr>
        <i/>
        <sz val="13.5"/>
        <rFont val="Times New Roman"/>
        <family val="1"/>
        <charset val="204"/>
      </rPr>
      <t>(утверждено на 2014 год областным законом об областном бюджете)</t>
    </r>
  </si>
  <si>
    <t xml:space="preserve">Расчетные доходы бюджета j-го муниципального образования в 2015 году </t>
  </si>
  <si>
    <t>Сравнение расчетных доходов местных бюджетов на 2015 год с расчетными доходами на 2014 год</t>
  </si>
  <si>
    <t>Увеличение расходных обязательств в 2015 году по сравнению с 2014 годом</t>
  </si>
  <si>
    <r>
      <t xml:space="preserve">сокращение расходов местных бюджетов в связи с планируемым включением с 2015 года организаций дополнительного образования  в структуру муниципальных общеобразовательных организаций  </t>
    </r>
    <r>
      <rPr>
        <i/>
        <sz val="13.5"/>
        <rFont val="Times New Roman"/>
        <family val="1"/>
        <charset val="204"/>
      </rPr>
      <t>(плановые расходы местных бюджетов в 2014 году по данным органов местного самоуправления)</t>
    </r>
  </si>
  <si>
    <r>
      <t xml:space="preserve">дотация на поддержку мер по обеспечению сбалансированности бюджетов </t>
    </r>
    <r>
      <rPr>
        <i/>
        <sz val="13.5"/>
        <rFont val="Times New Roman"/>
        <family val="1"/>
        <charset val="204"/>
      </rPr>
      <t>(утверждено постановлением Правительства Архангельской области № 194-пп от 13 мая 2014 г.)</t>
    </r>
  </si>
  <si>
    <t>Потребность в средствах на оплату труда с начислениями  и коммунальные услуги в муниципальных образовательных организаций, открытых в 2014 году (не учтенные при распределении дотации на сбалансированность в 2014 году)</t>
  </si>
  <si>
    <r>
      <t>Субсидия на софинансирование вопросов местного значения</t>
    </r>
    <r>
      <rPr>
        <i/>
        <sz val="14"/>
        <rFont val="Times New Roman"/>
        <family val="1"/>
        <charset val="204"/>
      </rPr>
      <t xml:space="preserve"> (с учетом бюджетной обеспеченности, меньше 2)</t>
    </r>
  </si>
  <si>
    <t>налоговые и неналоговые доходы  консолидированного бюджета  муниципального образования  (учтено при расчете субсидий на софинансирование вопросов местного значения на  2014 год без  доходов от оказания платных услуг и от продажи материальных и нематериальных активов и акцизов на нефтепродукты)</t>
  </si>
  <si>
    <r>
      <t xml:space="preserve">налоговые и неналоговые доходы  консолидированного бюджета муниципального образования  </t>
    </r>
    <r>
      <rPr>
        <i/>
        <sz val="13.5"/>
        <rFont val="Times New Roman"/>
        <family val="1"/>
        <charset val="204"/>
      </rPr>
      <t>(без учета доходов от оказания платных услуг и от продажи материальных и нематериальных активов, акцизов на нефтепродукты)</t>
    </r>
  </si>
  <si>
    <r>
      <t>Потребность в средствах на повышение оплаты труда работников муниципальных учреждений (</t>
    </r>
    <r>
      <rPr>
        <i/>
        <sz val="14"/>
        <rFont val="Times New Roman"/>
        <family val="1"/>
        <charset val="204"/>
      </rPr>
      <t>на 5,5% с 1 октября 2015 г.)</t>
    </r>
  </si>
  <si>
    <r>
      <t xml:space="preserve">изменение расходов местных бюджетов по муниципальным учреждениям культуры </t>
    </r>
    <r>
      <rPr>
        <i/>
        <sz val="13.5"/>
        <rFont val="Times New Roman"/>
        <family val="1"/>
        <charset val="204"/>
      </rPr>
      <t>(по данным органов местного самоуправления)</t>
    </r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</si>
</sst>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00"/>
    <numFmt numFmtId="165" formatCode="#,##0.0"/>
    <numFmt numFmtId="166" formatCode="#,##0.000"/>
    <numFmt numFmtId="167" formatCode="_-* #,##0.0_р_._-;\-* #,##0.0_р_._-;_-* &quot;-&quot;??_р_._-;_-@_-"/>
    <numFmt numFmtId="168" formatCode="_-* #,##0.000_р_._-;\-* #,##0.000_р_._-;_-* &quot;-&quot;??_р_._-;_-@_-"/>
    <numFmt numFmtId="169" formatCode="_-* #,##0_р_._-;\-* #,##0_р_._-;_-* &quot;-&quot;??_р_._-;_-@_-"/>
    <numFmt numFmtId="170" formatCode="_-* #,##0.000_р_._-;\-* #,##0.000_р_._-;_-* &quot;-&quot;???_р_._-;_-@_-"/>
    <numFmt numFmtId="171" formatCode="_-* #,##0.0000_р_._-;\-* #,##0.0000_р_._-;_-* &quot;-&quot;??_р_._-;_-@_-"/>
    <numFmt numFmtId="172" formatCode="#,##0.00_ ;\-#,##0.00\ "/>
  </numFmts>
  <fonts count="37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sz val="7"/>
      <name val="Times New Roman Cyr"/>
      <family val="1"/>
      <charset val="204"/>
    </font>
    <font>
      <sz val="8"/>
      <name val="Times New Roman Cyr"/>
      <family val="1"/>
      <charset val="204"/>
    </font>
    <font>
      <sz val="6"/>
      <name val="Times New Roman Cyr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2"/>
      <name val="Arial Cyr"/>
      <charset val="204"/>
    </font>
    <font>
      <b/>
      <sz val="11"/>
      <name val="Arial Cyr"/>
      <charset val="204"/>
    </font>
    <font>
      <b/>
      <sz val="14"/>
      <name val="Arial Cyr"/>
      <family val="2"/>
      <charset val="204"/>
    </font>
    <font>
      <i/>
      <sz val="11"/>
      <name val="Arial Cyr"/>
      <charset val="204"/>
    </font>
    <font>
      <b/>
      <sz val="9"/>
      <name val="Arial Cyr"/>
      <family val="2"/>
      <charset val="204"/>
    </font>
    <font>
      <i/>
      <sz val="11"/>
      <name val="Arial Cyr"/>
      <family val="2"/>
      <charset val="204"/>
    </font>
    <font>
      <i/>
      <sz val="12"/>
      <name val="Arial Cyr"/>
      <family val="2"/>
      <charset val="204"/>
    </font>
    <font>
      <b/>
      <sz val="13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8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Arial Cyr"/>
      <charset val="204"/>
    </font>
    <font>
      <i/>
      <sz val="13.5"/>
      <name val="Times New Roman"/>
      <family val="1"/>
      <charset val="204"/>
    </font>
    <font>
      <b/>
      <i/>
      <sz val="10"/>
      <name val="Arial Cyr"/>
      <charset val="204"/>
    </font>
    <font>
      <b/>
      <i/>
      <sz val="14"/>
      <name val="Times New Roman"/>
      <family val="1"/>
      <charset val="204"/>
    </font>
    <font>
      <sz val="13.5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0"/>
      <name val="Arial Cyr"/>
      <family val="2"/>
      <charset val="204"/>
    </font>
    <font>
      <i/>
      <sz val="13.5"/>
      <name val="Arial Cyr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2" fillId="0" borderId="0" xfId="0" applyNumberFormat="1" applyFont="1" applyFill="1" applyAlignment="1" applyProtection="1">
      <protection locked="0"/>
    </xf>
    <xf numFmtId="1" fontId="3" fillId="0" borderId="0" xfId="0" applyNumberFormat="1" applyFont="1" applyFill="1" applyProtection="1">
      <protection locked="0"/>
    </xf>
    <xf numFmtId="1" fontId="2" fillId="0" borderId="0" xfId="0" applyNumberFormat="1" applyFont="1" applyFill="1" applyProtection="1">
      <protection locked="0"/>
    </xf>
    <xf numFmtId="1" fontId="15" fillId="0" borderId="0" xfId="0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1" fontId="4" fillId="0" borderId="1" xfId="0" applyNumberFormat="1" applyFont="1" applyFill="1" applyBorder="1" applyAlignment="1" applyProtection="1">
      <alignment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9" fontId="2" fillId="0" borderId="8" xfId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right" vertical="center"/>
      <protection locked="0"/>
    </xf>
    <xf numFmtId="1" fontId="18" fillId="0" borderId="9" xfId="0" applyNumberFormat="1" applyFont="1" applyFill="1" applyBorder="1" applyAlignment="1" applyProtection="1">
      <alignment horizontal="left" vertical="center" wrapText="1"/>
      <protection locked="0"/>
    </xf>
    <xf numFmtId="166" fontId="19" fillId="0" borderId="9" xfId="1" applyNumberFormat="1" applyFont="1" applyFill="1" applyBorder="1" applyAlignment="1" applyProtection="1">
      <alignment horizontal="center" vertical="center"/>
    </xf>
    <xf numFmtId="166" fontId="19" fillId="0" borderId="10" xfId="1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/>
    <xf numFmtId="1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10" fillId="0" borderId="9" xfId="1" applyNumberFormat="1" applyFont="1" applyFill="1" applyBorder="1" applyAlignment="1" applyProtection="1">
      <alignment horizontal="center" vertical="center"/>
    </xf>
    <xf numFmtId="165" fontId="10" fillId="0" borderId="10" xfId="1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9" xfId="1" applyNumberFormat="1" applyFont="1" applyFill="1" applyBorder="1" applyAlignment="1" applyProtection="1">
      <alignment horizontal="center" vertical="center"/>
    </xf>
    <xf numFmtId="166" fontId="11" fillId="0" borderId="10" xfId="1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vertical="center"/>
    </xf>
    <xf numFmtId="0" fontId="12" fillId="0" borderId="9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6" fillId="0" borderId="0" xfId="0" applyFont="1" applyFill="1"/>
    <xf numFmtId="165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10" fillId="0" borderId="9" xfId="0" applyNumberFormat="1" applyFont="1" applyFill="1" applyBorder="1" applyAlignment="1" applyProtection="1">
      <alignment horizontal="right" vertical="center" wrapText="1"/>
      <protection locked="0"/>
    </xf>
    <xf numFmtId="1" fontId="14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4" xfId="0" applyFont="1" applyFill="1" applyBorder="1" applyAlignment="1">
      <alignment horizontal="left" vertical="center" wrapText="1"/>
    </xf>
    <xf numFmtId="165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13" xfId="1" applyFont="1" applyFill="1" applyBorder="1" applyAlignment="1" applyProtection="1">
      <alignment horizontal="center" vertical="center" wrapText="1"/>
      <protection locked="0"/>
    </xf>
    <xf numFmtId="165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15" xfId="1" applyFont="1" applyFill="1" applyBorder="1" applyAlignment="1" applyProtection="1">
      <alignment horizontal="center" vertical="center" wrapText="1"/>
      <protection locked="0"/>
    </xf>
    <xf numFmtId="165" fontId="10" fillId="0" borderId="16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7" xfId="1" applyNumberFormat="1" applyFont="1" applyFill="1" applyBorder="1" applyAlignment="1" applyProtection="1">
      <alignment horizontal="center" vertical="center"/>
    </xf>
    <xf numFmtId="166" fontId="11" fillId="0" borderId="17" xfId="1" applyNumberFormat="1" applyFont="1" applyFill="1" applyBorder="1" applyAlignment="1" applyProtection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0" borderId="0" xfId="0" applyFont="1" applyFill="1"/>
    <xf numFmtId="165" fontId="22" fillId="0" borderId="17" xfId="0" applyNumberFormat="1" applyFont="1" applyFill="1" applyBorder="1" applyAlignment="1">
      <alignment horizontal="center" vertical="center"/>
    </xf>
    <xf numFmtId="166" fontId="22" fillId="0" borderId="1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169" fontId="2" fillId="2" borderId="18" xfId="2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5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center" wrapText="1"/>
    </xf>
    <xf numFmtId="164" fontId="11" fillId="5" borderId="10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center" wrapText="1"/>
    </xf>
    <xf numFmtId="164" fontId="11" fillId="0" borderId="10" xfId="0" applyNumberFormat="1" applyFont="1" applyBorder="1" applyAlignment="1">
      <alignment horizontal="center" vertical="center"/>
    </xf>
    <xf numFmtId="168" fontId="2" fillId="5" borderId="17" xfId="2" applyNumberFormat="1" applyFont="1" applyFill="1" applyBorder="1" applyAlignment="1">
      <alignment horizontal="left" vertical="center"/>
    </xf>
    <xf numFmtId="168" fontId="2" fillId="5" borderId="17" xfId="2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2" fillId="0" borderId="0" xfId="0" applyFont="1" applyFill="1" applyAlignment="1">
      <alignment vertical="top"/>
    </xf>
    <xf numFmtId="1" fontId="3" fillId="0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7" fillId="0" borderId="0" xfId="0" applyNumberFormat="1" applyFont="1" applyFill="1" applyAlignment="1" applyProtection="1">
      <alignment vertical="center"/>
      <protection locked="0"/>
    </xf>
    <xf numFmtId="1" fontId="4" fillId="0" borderId="20" xfId="0" applyNumberFormat="1" applyFont="1" applyFill="1" applyBorder="1" applyAlignment="1" applyProtection="1">
      <alignment vertical="center"/>
      <protection locked="0"/>
    </xf>
    <xf numFmtId="1" fontId="5" fillId="0" borderId="21" xfId="0" applyNumberFormat="1" applyFont="1" applyFill="1" applyBorder="1" applyAlignment="1" applyProtection="1">
      <alignment horizontal="center" vertical="center"/>
      <protection locked="0"/>
    </xf>
    <xf numFmtId="1" fontId="5" fillId="0" borderId="22" xfId="0" applyNumberFormat="1" applyFont="1" applyFill="1" applyBorder="1" applyAlignment="1" applyProtection="1">
      <alignment horizontal="center" vertical="center"/>
      <protection locked="0"/>
    </xf>
    <xf numFmtId="1" fontId="4" fillId="0" borderId="22" xfId="0" applyNumberFormat="1" applyFont="1" applyFill="1" applyBorder="1" applyAlignment="1" applyProtection="1">
      <alignment horizontal="center" vertical="center"/>
      <protection locked="0"/>
    </xf>
    <xf numFmtId="1" fontId="24" fillId="0" borderId="23" xfId="0" applyNumberFormat="1" applyFont="1" applyFill="1" applyBorder="1" applyAlignment="1" applyProtection="1">
      <alignment horizontal="center" vertical="center"/>
      <protection locked="0"/>
    </xf>
    <xf numFmtId="1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5" fontId="9" fillId="0" borderId="9" xfId="0" applyNumberFormat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left" vertical="center" wrapText="1"/>
    </xf>
    <xf numFmtId="165" fontId="9" fillId="0" borderId="24" xfId="0" applyNumberFormat="1" applyFont="1" applyFill="1" applyBorder="1" applyAlignment="1">
      <alignment vertical="center"/>
    </xf>
    <xf numFmtId="0" fontId="27" fillId="0" borderId="9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165" fontId="11" fillId="0" borderId="9" xfId="0" applyNumberFormat="1" applyFont="1" applyFill="1" applyBorder="1" applyAlignment="1">
      <alignment horizontal="right" vertical="center"/>
    </xf>
    <xf numFmtId="4" fontId="9" fillId="0" borderId="9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14" fillId="6" borderId="25" xfId="0" applyFont="1" applyFill="1" applyBorder="1" applyAlignment="1">
      <alignment horizontal="left" vertical="center" wrapText="1"/>
    </xf>
    <xf numFmtId="165" fontId="9" fillId="6" borderId="9" xfId="0" applyNumberFormat="1" applyFont="1" applyFill="1" applyBorder="1" applyAlignment="1">
      <alignment horizontal="right" vertical="center"/>
    </xf>
    <xf numFmtId="167" fontId="23" fillId="6" borderId="17" xfId="2" applyNumberFormat="1" applyFont="1" applyFill="1" applyBorder="1" applyAlignment="1">
      <alignment horizontal="center" vertical="center"/>
    </xf>
    <xf numFmtId="165" fontId="9" fillId="6" borderId="10" xfId="0" applyNumberFormat="1" applyFont="1" applyFill="1" applyBorder="1" applyAlignment="1">
      <alignment horizontal="right" vertical="center"/>
    </xf>
    <xf numFmtId="165" fontId="11" fillId="0" borderId="9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 wrapText="1"/>
    </xf>
    <xf numFmtId="165" fontId="11" fillId="0" borderId="26" xfId="0" applyNumberFormat="1" applyFont="1" applyFill="1" applyBorder="1" applyAlignment="1">
      <alignment vertical="center"/>
    </xf>
    <xf numFmtId="0" fontId="16" fillId="5" borderId="0" xfId="0" applyFont="1" applyFill="1"/>
    <xf numFmtId="165" fontId="9" fillId="5" borderId="17" xfId="0" applyNumberFormat="1" applyFont="1" applyFill="1" applyBorder="1" applyAlignment="1">
      <alignment horizontal="right" vertical="center"/>
    </xf>
    <xf numFmtId="0" fontId="34" fillId="0" borderId="9" xfId="0" applyFont="1" applyFill="1" applyBorder="1" applyAlignment="1">
      <alignment horizontal="left" vertical="center" wrapText="1"/>
    </xf>
    <xf numFmtId="166" fontId="13" fillId="5" borderId="9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vertical="center" wrapText="1"/>
    </xf>
    <xf numFmtId="165" fontId="9" fillId="0" borderId="9" xfId="0" applyNumberFormat="1" applyFont="1" applyFill="1" applyBorder="1" applyAlignment="1">
      <alignment vertical="center"/>
    </xf>
    <xf numFmtId="165" fontId="9" fillId="0" borderId="26" xfId="0" applyNumberFormat="1" applyFont="1" applyFill="1" applyBorder="1" applyAlignment="1">
      <alignment vertical="center"/>
    </xf>
    <xf numFmtId="4" fontId="23" fillId="4" borderId="17" xfId="0" applyNumberFormat="1" applyFont="1" applyFill="1" applyBorder="1" applyAlignment="1">
      <alignment horizontal="center" vertical="center"/>
    </xf>
    <xf numFmtId="171" fontId="9" fillId="4" borderId="17" xfId="2" applyNumberFormat="1" applyFont="1" applyFill="1" applyBorder="1" applyAlignment="1">
      <alignment horizontal="center" vertical="center"/>
    </xf>
    <xf numFmtId="165" fontId="9" fillId="5" borderId="9" xfId="0" applyNumberFormat="1" applyFont="1" applyFill="1" applyBorder="1" applyAlignment="1">
      <alignment horizontal="right" vertical="center"/>
    </xf>
    <xf numFmtId="167" fontId="23" fillId="5" borderId="17" xfId="2" applyNumberFormat="1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left" vertical="center" wrapText="1"/>
    </xf>
    <xf numFmtId="10" fontId="11" fillId="5" borderId="9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65" fontId="0" fillId="0" borderId="0" xfId="0" applyNumberFormat="1" applyFont="1" applyFill="1" applyAlignment="1">
      <alignment vertical="center"/>
    </xf>
    <xf numFmtId="1" fontId="13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Border="1"/>
    <xf numFmtId="49" fontId="0" fillId="0" borderId="8" xfId="0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65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left" vertical="center" wrapText="1"/>
    </xf>
    <xf numFmtId="0" fontId="0" fillId="5" borderId="0" xfId="0" applyFont="1" applyFill="1"/>
    <xf numFmtId="167" fontId="0" fillId="0" borderId="9" xfId="2" applyNumberFormat="1" applyFont="1" applyFill="1" applyBorder="1"/>
    <xf numFmtId="167" fontId="0" fillId="0" borderId="19" xfId="2" applyNumberFormat="1" applyFont="1" applyFill="1" applyBorder="1"/>
    <xf numFmtId="0" fontId="0" fillId="0" borderId="29" xfId="0" applyFont="1" applyFill="1" applyBorder="1"/>
    <xf numFmtId="170" fontId="0" fillId="0" borderId="0" xfId="0" applyNumberFormat="1" applyFont="1" applyFill="1"/>
    <xf numFmtId="4" fontId="23" fillId="0" borderId="9" xfId="2" applyNumberFormat="1" applyFont="1" applyFill="1" applyBorder="1" applyAlignment="1">
      <alignment horizontal="right" vertical="center"/>
    </xf>
    <xf numFmtId="4" fontId="23" fillId="0" borderId="10" xfId="2" applyNumberFormat="1" applyFont="1" applyFill="1" applyBorder="1" applyAlignment="1">
      <alignment horizontal="right" vertical="center"/>
    </xf>
    <xf numFmtId="4" fontId="23" fillId="0" borderId="17" xfId="2" applyNumberFormat="1" applyFont="1" applyFill="1" applyBorder="1" applyAlignment="1">
      <alignment horizontal="center" vertical="center"/>
    </xf>
    <xf numFmtId="172" fontId="9" fillId="0" borderId="9" xfId="0" applyNumberFormat="1" applyFont="1" applyFill="1" applyBorder="1" applyAlignment="1">
      <alignment horizontal="right" vertical="center"/>
    </xf>
    <xf numFmtId="172" fontId="9" fillId="0" borderId="10" xfId="0" applyNumberFormat="1" applyFont="1" applyFill="1" applyBorder="1" applyAlignment="1">
      <alignment horizontal="right" vertical="center"/>
    </xf>
    <xf numFmtId="172" fontId="9" fillId="0" borderId="17" xfId="0" applyNumberFormat="1" applyFont="1" applyFill="1" applyBorder="1" applyAlignment="1">
      <alignment horizontal="center" vertical="center"/>
    </xf>
    <xf numFmtId="165" fontId="9" fillId="6" borderId="17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 shrinkToFit="1"/>
    </xf>
    <xf numFmtId="165" fontId="8" fillId="0" borderId="0" xfId="0" applyNumberFormat="1" applyFont="1" applyFill="1" applyAlignment="1">
      <alignment vertical="center"/>
    </xf>
    <xf numFmtId="0" fontId="31" fillId="0" borderId="10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0" fontId="30" fillId="0" borderId="31" xfId="0" applyFont="1" applyFill="1" applyBorder="1" applyAlignment="1">
      <alignment vertical="center"/>
    </xf>
    <xf numFmtId="0" fontId="30" fillId="0" borderId="31" xfId="0" applyFont="1" applyFill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21" Type="http://schemas.openxmlformats.org/officeDocument/2006/relationships/oleObject" Target="../embeddings/oleObject19.bin"/><Relationship Id="rId34" Type="http://schemas.openxmlformats.org/officeDocument/2006/relationships/oleObject" Target="../embeddings/oleObject32.bin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76" Type="http://schemas.openxmlformats.org/officeDocument/2006/relationships/oleObject" Target="../embeddings/oleObject74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97" Type="http://schemas.openxmlformats.org/officeDocument/2006/relationships/oleObject" Target="../embeddings/oleObject95.bin"/><Relationship Id="rId7" Type="http://schemas.openxmlformats.org/officeDocument/2006/relationships/oleObject" Target="../embeddings/oleObject5.bin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9" Type="http://schemas.openxmlformats.org/officeDocument/2006/relationships/oleObject" Target="../embeddings/oleObject27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66" Type="http://schemas.openxmlformats.org/officeDocument/2006/relationships/oleObject" Target="../embeddings/oleObject64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87" Type="http://schemas.openxmlformats.org/officeDocument/2006/relationships/oleObject" Target="../embeddings/oleObject85.bin"/><Relationship Id="rId102" Type="http://schemas.openxmlformats.org/officeDocument/2006/relationships/oleObject" Target="../embeddings/oleObject100.bin"/><Relationship Id="rId5" Type="http://schemas.openxmlformats.org/officeDocument/2006/relationships/oleObject" Target="../embeddings/oleObject3.bin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19" Type="http://schemas.openxmlformats.org/officeDocument/2006/relationships/oleObject" Target="../embeddings/oleObject1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56" Type="http://schemas.openxmlformats.org/officeDocument/2006/relationships/oleObject" Target="../embeddings/oleObject54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8" Type="http://schemas.openxmlformats.org/officeDocument/2006/relationships/oleObject" Target="../embeddings/oleObject6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3" Type="http://schemas.openxmlformats.org/officeDocument/2006/relationships/oleObject" Target="../embeddings/oleObject1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20" Type="http://schemas.openxmlformats.org/officeDocument/2006/relationships/oleObject" Target="../embeddings/oleObject18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" Type="http://schemas.openxmlformats.org/officeDocument/2006/relationships/oleObject" Target="../embeddings/oleObject8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9" Type="http://schemas.openxmlformats.org/officeDocument/2006/relationships/oleObject" Target="../embeddings/oleObject3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O42"/>
  <sheetViews>
    <sheetView workbookViewId="0">
      <pane xSplit="2" ySplit="5" topLeftCell="S36" activePane="bottomRight" state="frozen"/>
      <selection pane="topRight" activeCell="C1" sqref="C1"/>
      <selection pane="bottomLeft" activeCell="A6" sqref="A6"/>
      <selection pane="bottomRight" activeCell="AB29" sqref="AB29"/>
    </sheetView>
  </sheetViews>
  <sheetFormatPr defaultColWidth="9.140625" defaultRowHeight="12.75"/>
  <cols>
    <col min="1" max="1" width="3.85546875" style="64" customWidth="1"/>
    <col min="2" max="2" width="38.28515625" style="64" customWidth="1"/>
    <col min="3" max="3" width="13.85546875" style="64" customWidth="1"/>
    <col min="4" max="4" width="12.28515625" style="64" customWidth="1"/>
    <col min="5" max="5" width="12.5703125" style="64" customWidth="1"/>
    <col min="6" max="6" width="12.140625" style="64" customWidth="1"/>
    <col min="7" max="7" width="12.28515625" style="64" customWidth="1"/>
    <col min="8" max="8" width="12.140625" style="64" customWidth="1"/>
    <col min="9" max="9" width="13.28515625" style="64" customWidth="1"/>
    <col min="10" max="11" width="12.140625" style="64" customWidth="1"/>
    <col min="12" max="12" width="12.28515625" style="64" customWidth="1"/>
    <col min="13" max="13" width="13.28515625" style="64" customWidth="1"/>
    <col min="14" max="14" width="12.28515625" style="64" customWidth="1"/>
    <col min="15" max="15" width="13.5703125" style="64" customWidth="1"/>
    <col min="16" max="16" width="13.7109375" style="64" customWidth="1"/>
    <col min="17" max="17" width="13.42578125" style="64" customWidth="1"/>
    <col min="18" max="18" width="12.85546875" style="64" customWidth="1"/>
    <col min="19" max="20" width="13.5703125" style="64" customWidth="1"/>
    <col min="21" max="21" width="13.28515625" style="64" customWidth="1"/>
    <col min="22" max="22" width="14.28515625" style="64" customWidth="1"/>
    <col min="23" max="23" width="13.42578125" style="64" customWidth="1"/>
    <col min="24" max="24" width="15" style="64" customWidth="1"/>
    <col min="25" max="25" width="13.140625" style="64" customWidth="1"/>
    <col min="26" max="26" width="12.42578125" style="64" customWidth="1"/>
    <col min="27" max="27" width="13" style="64" customWidth="1"/>
    <col min="28" max="28" width="11.28515625" style="64" customWidth="1"/>
    <col min="29" max="29" width="17.28515625" style="64" customWidth="1"/>
    <col min="30" max="30" width="8.42578125" style="64" customWidth="1"/>
    <col min="31" max="16384" width="9.140625" style="64"/>
  </cols>
  <sheetData>
    <row r="1" spans="2:41" ht="45.6" customHeight="1">
      <c r="B1" s="3" t="s">
        <v>48</v>
      </c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6"/>
      <c r="S1" s="4"/>
      <c r="T1" s="4"/>
      <c r="U1" s="4"/>
      <c r="V1" s="4"/>
      <c r="W1" s="4"/>
      <c r="X1" s="4"/>
      <c r="Y1" s="4"/>
      <c r="Z1" s="4"/>
      <c r="AA1" s="4"/>
      <c r="AB1" s="4"/>
      <c r="AC1" s="7"/>
      <c r="AD1" s="4"/>
    </row>
    <row r="2" spans="2:41" ht="21" customHeight="1">
      <c r="B2" s="131"/>
      <c r="C2" s="4"/>
      <c r="D2" s="5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6"/>
      <c r="S2" s="4"/>
      <c r="T2" s="4"/>
      <c r="U2" s="4"/>
      <c r="V2" s="4"/>
      <c r="W2" s="4"/>
      <c r="X2" s="4"/>
      <c r="Y2" s="4"/>
      <c r="Z2" s="4"/>
      <c r="AA2" s="4"/>
      <c r="AB2" s="4"/>
      <c r="AC2" s="7"/>
      <c r="AD2" s="4"/>
    </row>
    <row r="3" spans="2:41" ht="30" customHeight="1">
      <c r="B3" s="131"/>
      <c r="C3" s="4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4"/>
      <c r="T3" s="4"/>
      <c r="U3" s="4"/>
      <c r="V3" s="4"/>
      <c r="W3" s="4"/>
      <c r="X3" s="4"/>
      <c r="Y3" s="4"/>
      <c r="Z3" s="4"/>
      <c r="AA3" s="4"/>
      <c r="AB3" s="4"/>
      <c r="AC3" s="7"/>
      <c r="AD3" s="4"/>
    </row>
    <row r="4" spans="2:41" ht="33.75" customHeight="1" thickBot="1">
      <c r="B4" s="8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27</v>
      </c>
      <c r="P4" s="9" t="s">
        <v>13</v>
      </c>
      <c r="Q4" s="9" t="s">
        <v>14</v>
      </c>
      <c r="R4" s="9" t="s">
        <v>15</v>
      </c>
      <c r="S4" s="9" t="s">
        <v>16</v>
      </c>
      <c r="T4" s="9" t="s">
        <v>17</v>
      </c>
      <c r="U4" s="9" t="s">
        <v>18</v>
      </c>
      <c r="V4" s="9" t="s">
        <v>19</v>
      </c>
      <c r="W4" s="9" t="s">
        <v>20</v>
      </c>
      <c r="X4" s="9" t="s">
        <v>21</v>
      </c>
      <c r="Y4" s="9" t="s">
        <v>22</v>
      </c>
      <c r="Z4" s="9" t="s">
        <v>23</v>
      </c>
      <c r="AA4" s="9" t="s">
        <v>24</v>
      </c>
      <c r="AB4" s="10" t="s">
        <v>25</v>
      </c>
      <c r="AC4" s="11" t="s">
        <v>26</v>
      </c>
      <c r="AD4" s="1"/>
      <c r="AE4" s="132"/>
      <c r="AF4" s="132"/>
      <c r="AG4" s="132"/>
      <c r="AH4" s="132"/>
    </row>
    <row r="5" spans="2:41" ht="6.75" customHeight="1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"/>
      <c r="AE5" s="132"/>
      <c r="AF5" s="132"/>
      <c r="AG5" s="132"/>
      <c r="AH5" s="132"/>
    </row>
    <row r="6" spans="2:41" ht="33.75" customHeight="1">
      <c r="B6" s="16" t="s">
        <v>28</v>
      </c>
      <c r="C6" s="37">
        <v>724303.8</v>
      </c>
      <c r="D6" s="37">
        <v>104648.4</v>
      </c>
      <c r="E6" s="37">
        <v>112933.4</v>
      </c>
      <c r="F6" s="37">
        <v>138665.4</v>
      </c>
      <c r="G6" s="37">
        <v>151608.6</v>
      </c>
      <c r="H6" s="37">
        <v>275769.40000000002</v>
      </c>
      <c r="I6" s="37">
        <v>294240.8</v>
      </c>
      <c r="J6" s="37">
        <v>110079.8</v>
      </c>
      <c r="K6" s="37">
        <v>233713.5</v>
      </c>
      <c r="L6" s="37">
        <v>79701</v>
      </c>
      <c r="M6" s="37">
        <v>253452.2</v>
      </c>
      <c r="N6" s="37">
        <v>449283.6</v>
      </c>
      <c r="O6" s="37">
        <v>348961</v>
      </c>
      <c r="P6" s="37">
        <v>290887.59999999998</v>
      </c>
      <c r="Q6" s="37">
        <v>582578.30000000005</v>
      </c>
      <c r="R6" s="37">
        <v>470072.3</v>
      </c>
      <c r="S6" s="37">
        <v>301483.8</v>
      </c>
      <c r="T6" s="37">
        <v>231594.7</v>
      </c>
      <c r="U6" s="37">
        <v>99268.6</v>
      </c>
      <c r="V6" s="37">
        <v>7342837.5</v>
      </c>
      <c r="W6" s="37">
        <v>5365268.2</v>
      </c>
      <c r="X6" s="37">
        <v>1299718</v>
      </c>
      <c r="Y6" s="37">
        <v>603053.1</v>
      </c>
      <c r="Z6" s="37">
        <v>722896.2</v>
      </c>
      <c r="AA6" s="37">
        <v>943472.1</v>
      </c>
      <c r="AB6" s="46">
        <v>269420.09999999998</v>
      </c>
      <c r="AC6" s="49">
        <f>SUM(C6:AB6)</f>
        <v>21799911.400000002</v>
      </c>
      <c r="AD6" s="1"/>
      <c r="AE6" s="132"/>
      <c r="AF6" s="132"/>
      <c r="AG6" s="132"/>
      <c r="AH6" s="132"/>
    </row>
    <row r="7" spans="2:41" ht="22.5" customHeight="1">
      <c r="B7" s="133" t="s">
        <v>29</v>
      </c>
      <c r="C7" s="17">
        <v>0.25</v>
      </c>
      <c r="D7" s="17">
        <v>0.25</v>
      </c>
      <c r="E7" s="17">
        <v>0.25</v>
      </c>
      <c r="F7" s="17">
        <v>0.25</v>
      </c>
      <c r="G7" s="17">
        <v>0.25</v>
      </c>
      <c r="H7" s="17">
        <v>0.25</v>
      </c>
      <c r="I7" s="17">
        <v>0.25</v>
      </c>
      <c r="J7" s="17">
        <v>0.25</v>
      </c>
      <c r="K7" s="17">
        <v>0.25</v>
      </c>
      <c r="L7" s="17">
        <v>0.25</v>
      </c>
      <c r="M7" s="17">
        <v>0.25</v>
      </c>
      <c r="N7" s="17">
        <v>0.25</v>
      </c>
      <c r="O7" s="17">
        <v>0.25</v>
      </c>
      <c r="P7" s="17">
        <v>0.25</v>
      </c>
      <c r="Q7" s="17">
        <v>0.25</v>
      </c>
      <c r="R7" s="17">
        <v>0.25</v>
      </c>
      <c r="S7" s="17">
        <v>0.25</v>
      </c>
      <c r="T7" s="17">
        <v>0.25</v>
      </c>
      <c r="U7" s="17">
        <v>0.25</v>
      </c>
      <c r="V7" s="17">
        <v>0.25</v>
      </c>
      <c r="W7" s="17">
        <v>0.25</v>
      </c>
      <c r="X7" s="17">
        <v>0.25</v>
      </c>
      <c r="Y7" s="17">
        <v>0.25</v>
      </c>
      <c r="Z7" s="17">
        <v>0.25</v>
      </c>
      <c r="AA7" s="17">
        <v>0.25</v>
      </c>
      <c r="AB7" s="47">
        <v>0.25</v>
      </c>
      <c r="AC7" s="50">
        <v>0.25</v>
      </c>
      <c r="AD7" s="1"/>
      <c r="AE7" s="132"/>
      <c r="AF7" s="132"/>
      <c r="AG7" s="132"/>
      <c r="AH7" s="132"/>
    </row>
    <row r="8" spans="2:41" ht="30" customHeight="1">
      <c r="B8" s="38" t="s">
        <v>30</v>
      </c>
      <c r="C8" s="39">
        <f t="shared" ref="C8:AB8" si="0">C6*C7</f>
        <v>181075.95</v>
      </c>
      <c r="D8" s="39">
        <f t="shared" si="0"/>
        <v>26162.1</v>
      </c>
      <c r="E8" s="39">
        <f t="shared" si="0"/>
        <v>28233.35</v>
      </c>
      <c r="F8" s="39">
        <f t="shared" si="0"/>
        <v>34666.35</v>
      </c>
      <c r="G8" s="39">
        <f t="shared" si="0"/>
        <v>37902.15</v>
      </c>
      <c r="H8" s="39">
        <f t="shared" si="0"/>
        <v>68942.350000000006</v>
      </c>
      <c r="I8" s="39">
        <f t="shared" si="0"/>
        <v>73560.2</v>
      </c>
      <c r="J8" s="39">
        <f t="shared" si="0"/>
        <v>27519.95</v>
      </c>
      <c r="K8" s="39">
        <f t="shared" si="0"/>
        <v>58428.375</v>
      </c>
      <c r="L8" s="39">
        <f t="shared" si="0"/>
        <v>19925.25</v>
      </c>
      <c r="M8" s="39">
        <f t="shared" si="0"/>
        <v>63363.05</v>
      </c>
      <c r="N8" s="39">
        <f t="shared" si="0"/>
        <v>112320.9</v>
      </c>
      <c r="O8" s="39">
        <f t="shared" si="0"/>
        <v>87240.25</v>
      </c>
      <c r="P8" s="39">
        <f t="shared" si="0"/>
        <v>72721.899999999994</v>
      </c>
      <c r="Q8" s="39">
        <f t="shared" si="0"/>
        <v>145644.57500000001</v>
      </c>
      <c r="R8" s="39">
        <f t="shared" si="0"/>
        <v>117518.075</v>
      </c>
      <c r="S8" s="39">
        <f t="shared" si="0"/>
        <v>75370.95</v>
      </c>
      <c r="T8" s="39">
        <f t="shared" si="0"/>
        <v>57898.675000000003</v>
      </c>
      <c r="U8" s="39">
        <f t="shared" si="0"/>
        <v>24817.15</v>
      </c>
      <c r="V8" s="39">
        <f t="shared" si="0"/>
        <v>1835709.375</v>
      </c>
      <c r="W8" s="39">
        <f t="shared" si="0"/>
        <v>1341317.05</v>
      </c>
      <c r="X8" s="39">
        <f t="shared" si="0"/>
        <v>324929.5</v>
      </c>
      <c r="Y8" s="39">
        <f t="shared" si="0"/>
        <v>150763.27499999999</v>
      </c>
      <c r="Z8" s="39">
        <f t="shared" si="0"/>
        <v>180724.05</v>
      </c>
      <c r="AA8" s="39">
        <f t="shared" si="0"/>
        <v>235868.02499999999</v>
      </c>
      <c r="AB8" s="40">
        <f t="shared" si="0"/>
        <v>67355.024999999994</v>
      </c>
      <c r="AC8" s="51">
        <f>SUM(C8:AB8)</f>
        <v>5449977.8500000006</v>
      </c>
      <c r="AD8" s="1"/>
      <c r="AE8" s="132"/>
      <c r="AF8" s="132"/>
      <c r="AG8" s="132"/>
      <c r="AH8" s="132"/>
    </row>
    <row r="9" spans="2:41" ht="45" customHeight="1">
      <c r="B9" s="134" t="s">
        <v>54</v>
      </c>
      <c r="C9" s="135">
        <v>18581.719024499998</v>
      </c>
      <c r="D9" s="135">
        <v>19512.333050000001</v>
      </c>
      <c r="E9" s="135">
        <v>3718.4260159999999</v>
      </c>
      <c r="F9" s="135">
        <v>1849.4736335</v>
      </c>
      <c r="G9" s="135">
        <v>8350.3381920000011</v>
      </c>
      <c r="H9" s="135">
        <v>7012.0137994999995</v>
      </c>
      <c r="I9" s="135">
        <v>12869.072119499999</v>
      </c>
      <c r="J9" s="135">
        <v>6488.1026194999995</v>
      </c>
      <c r="K9" s="135">
        <v>2633.9970415000003</v>
      </c>
      <c r="L9" s="135">
        <v>1619.4228909999999</v>
      </c>
      <c r="M9" s="135">
        <v>971.92240699999991</v>
      </c>
      <c r="N9" s="135">
        <v>0</v>
      </c>
      <c r="O9" s="135">
        <v>9404.5415214999994</v>
      </c>
      <c r="P9" s="135">
        <v>10971.237454000002</v>
      </c>
      <c r="Q9" s="135">
        <v>0</v>
      </c>
      <c r="R9" s="135">
        <v>9827.3647110000002</v>
      </c>
      <c r="S9" s="135">
        <v>9723.2541559999991</v>
      </c>
      <c r="T9" s="135">
        <v>5349.6033244999999</v>
      </c>
      <c r="U9" s="135">
        <v>6651.9927835000008</v>
      </c>
      <c r="V9" s="135">
        <v>17908.358822000002</v>
      </c>
      <c r="W9" s="135">
        <v>4125.4647020000002</v>
      </c>
      <c r="X9" s="135">
        <v>7791.499600000001</v>
      </c>
      <c r="Y9" s="135">
        <v>801.31543299999987</v>
      </c>
      <c r="Z9" s="135">
        <v>245.16356500000001</v>
      </c>
      <c r="AA9" s="135">
        <v>0</v>
      </c>
      <c r="AB9" s="136">
        <v>0</v>
      </c>
      <c r="AC9" s="51">
        <f>SUM(C9:AB9)</f>
        <v>166406.6168665</v>
      </c>
      <c r="AD9" s="1"/>
      <c r="AE9" s="132"/>
      <c r="AF9" s="132"/>
      <c r="AG9" s="132"/>
      <c r="AH9" s="132"/>
    </row>
    <row r="10" spans="2:41" ht="27" customHeight="1">
      <c r="B10" s="16" t="s">
        <v>39</v>
      </c>
      <c r="C10" s="37">
        <v>6.7</v>
      </c>
      <c r="D10" s="37">
        <v>80.7</v>
      </c>
      <c r="E10" s="37">
        <v>176.2</v>
      </c>
      <c r="F10" s="37">
        <v>117.6</v>
      </c>
      <c r="G10" s="37">
        <v>0</v>
      </c>
      <c r="H10" s="37">
        <v>20.6</v>
      </c>
      <c r="I10" s="37">
        <v>165.5</v>
      </c>
      <c r="J10" s="37">
        <v>11.7</v>
      </c>
      <c r="K10" s="37">
        <v>11.2</v>
      </c>
      <c r="L10" s="37">
        <v>0</v>
      </c>
      <c r="M10" s="37">
        <v>6718.1</v>
      </c>
      <c r="N10" s="37">
        <v>0</v>
      </c>
      <c r="O10" s="37">
        <v>1184.9000000000001</v>
      </c>
      <c r="P10" s="37">
        <v>39</v>
      </c>
      <c r="Q10" s="37">
        <v>31.3</v>
      </c>
      <c r="R10" s="37">
        <v>7737.2</v>
      </c>
      <c r="S10" s="37">
        <v>13</v>
      </c>
      <c r="T10" s="37">
        <v>272.2</v>
      </c>
      <c r="U10" s="37">
        <v>2.9</v>
      </c>
      <c r="V10" s="37">
        <v>23106.7</v>
      </c>
      <c r="W10" s="37">
        <v>5396.8</v>
      </c>
      <c r="X10" s="37">
        <v>5.7</v>
      </c>
      <c r="Y10" s="37">
        <v>0</v>
      </c>
      <c r="Z10" s="37">
        <v>0</v>
      </c>
      <c r="AA10" s="37">
        <v>0</v>
      </c>
      <c r="AB10" s="46">
        <v>0</v>
      </c>
      <c r="AC10" s="49">
        <f>SUM(C10:AB10)</f>
        <v>45098</v>
      </c>
      <c r="AD10" s="1"/>
      <c r="AE10" s="132"/>
      <c r="AF10" s="132"/>
      <c r="AG10" s="132"/>
      <c r="AH10" s="132"/>
    </row>
    <row r="11" spans="2:41" ht="18.75" customHeight="1">
      <c r="B11" s="133" t="s">
        <v>29</v>
      </c>
      <c r="C11" s="17">
        <v>0.5</v>
      </c>
      <c r="D11" s="17">
        <v>0.5</v>
      </c>
      <c r="E11" s="17">
        <v>0.5</v>
      </c>
      <c r="F11" s="17">
        <v>0.5</v>
      </c>
      <c r="G11" s="17">
        <v>0.5</v>
      </c>
      <c r="H11" s="17">
        <v>0.5</v>
      </c>
      <c r="I11" s="17">
        <v>0.5</v>
      </c>
      <c r="J11" s="17">
        <v>0.5</v>
      </c>
      <c r="K11" s="17">
        <v>0.5</v>
      </c>
      <c r="L11" s="17">
        <v>0.5</v>
      </c>
      <c r="M11" s="17">
        <v>0.5</v>
      </c>
      <c r="N11" s="17">
        <v>0.5</v>
      </c>
      <c r="O11" s="17">
        <v>0.5</v>
      </c>
      <c r="P11" s="17">
        <v>0.5</v>
      </c>
      <c r="Q11" s="17">
        <v>0.5</v>
      </c>
      <c r="R11" s="17">
        <v>0.5</v>
      </c>
      <c r="S11" s="17">
        <v>0.5</v>
      </c>
      <c r="T11" s="17">
        <v>0.5</v>
      </c>
      <c r="U11" s="17">
        <v>0.5</v>
      </c>
      <c r="V11" s="17">
        <v>0.5</v>
      </c>
      <c r="W11" s="17">
        <v>0.5</v>
      </c>
      <c r="X11" s="17">
        <v>0.5</v>
      </c>
      <c r="Y11" s="17">
        <v>0.5</v>
      </c>
      <c r="Z11" s="17">
        <v>0.5</v>
      </c>
      <c r="AA11" s="17">
        <v>0.5</v>
      </c>
      <c r="AB11" s="47">
        <v>0.5</v>
      </c>
      <c r="AC11" s="50">
        <v>0.5</v>
      </c>
      <c r="AD11" s="1"/>
      <c r="AE11" s="132"/>
      <c r="AF11" s="132"/>
      <c r="AG11" s="132"/>
      <c r="AH11" s="132"/>
    </row>
    <row r="12" spans="2:41" ht="32.25" customHeight="1">
      <c r="B12" s="38" t="s">
        <v>31</v>
      </c>
      <c r="C12" s="39">
        <f t="shared" ref="C12:AB12" si="1">C10*C11</f>
        <v>3.35</v>
      </c>
      <c r="D12" s="39">
        <f t="shared" si="1"/>
        <v>40.35</v>
      </c>
      <c r="E12" s="39">
        <f t="shared" si="1"/>
        <v>88.1</v>
      </c>
      <c r="F12" s="39">
        <f t="shared" si="1"/>
        <v>58.8</v>
      </c>
      <c r="G12" s="39">
        <f t="shared" si="1"/>
        <v>0</v>
      </c>
      <c r="H12" s="39">
        <f t="shared" si="1"/>
        <v>10.3</v>
      </c>
      <c r="I12" s="39">
        <f t="shared" si="1"/>
        <v>82.75</v>
      </c>
      <c r="J12" s="39">
        <f t="shared" si="1"/>
        <v>5.85</v>
      </c>
      <c r="K12" s="39">
        <f t="shared" si="1"/>
        <v>5.6</v>
      </c>
      <c r="L12" s="39">
        <f t="shared" si="1"/>
        <v>0</v>
      </c>
      <c r="M12" s="39">
        <f t="shared" si="1"/>
        <v>3359.05</v>
      </c>
      <c r="N12" s="39">
        <f t="shared" si="1"/>
        <v>0</v>
      </c>
      <c r="O12" s="39">
        <f t="shared" si="1"/>
        <v>592.45000000000005</v>
      </c>
      <c r="P12" s="39">
        <f t="shared" si="1"/>
        <v>19.5</v>
      </c>
      <c r="Q12" s="39">
        <f t="shared" si="1"/>
        <v>15.65</v>
      </c>
      <c r="R12" s="39">
        <f t="shared" si="1"/>
        <v>3868.6</v>
      </c>
      <c r="S12" s="39">
        <f t="shared" si="1"/>
        <v>6.5</v>
      </c>
      <c r="T12" s="39">
        <f t="shared" si="1"/>
        <v>136.1</v>
      </c>
      <c r="U12" s="39">
        <f t="shared" si="1"/>
        <v>1.45</v>
      </c>
      <c r="V12" s="39">
        <f t="shared" si="1"/>
        <v>11553.35</v>
      </c>
      <c r="W12" s="39">
        <f t="shared" si="1"/>
        <v>2698.4</v>
      </c>
      <c r="X12" s="39">
        <f t="shared" si="1"/>
        <v>2.85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40">
        <f t="shared" si="1"/>
        <v>0</v>
      </c>
      <c r="AC12" s="51">
        <f t="shared" ref="AC12:AC17" si="2">SUM(C12:AB12)</f>
        <v>22549</v>
      </c>
      <c r="AD12" s="18"/>
      <c r="AE12" s="137"/>
      <c r="AF12" s="137"/>
      <c r="AG12" s="137"/>
      <c r="AH12" s="137"/>
      <c r="AI12" s="138"/>
      <c r="AJ12" s="138"/>
      <c r="AK12" s="138"/>
      <c r="AL12" s="138"/>
      <c r="AM12" s="138"/>
      <c r="AN12" s="138"/>
      <c r="AO12" s="138"/>
    </row>
    <row r="13" spans="2:41" ht="30" customHeight="1">
      <c r="B13" s="41" t="s">
        <v>32</v>
      </c>
      <c r="C13" s="42">
        <v>52995.5</v>
      </c>
      <c r="D13" s="42">
        <v>4827.6000000000004</v>
      </c>
      <c r="E13" s="42">
        <v>6852.4</v>
      </c>
      <c r="F13" s="42">
        <v>12294.8</v>
      </c>
      <c r="G13" s="42">
        <v>23808.2</v>
      </c>
      <c r="H13" s="42">
        <v>24322.7</v>
      </c>
      <c r="I13" s="42">
        <v>7608.4</v>
      </c>
      <c r="J13" s="42">
        <v>10999</v>
      </c>
      <c r="K13" s="42">
        <v>10969.9</v>
      </c>
      <c r="L13" s="42">
        <v>3226</v>
      </c>
      <c r="M13" s="42">
        <v>5738.3</v>
      </c>
      <c r="N13" s="42">
        <v>38541.699999999997</v>
      </c>
      <c r="O13" s="42">
        <v>20621.2</v>
      </c>
      <c r="P13" s="42">
        <v>11802.2</v>
      </c>
      <c r="Q13" s="42">
        <v>31089.7</v>
      </c>
      <c r="R13" s="42">
        <v>6916.3</v>
      </c>
      <c r="S13" s="42">
        <v>24241.9</v>
      </c>
      <c r="T13" s="42">
        <v>15033</v>
      </c>
      <c r="U13" s="42">
        <v>8944.7999999999993</v>
      </c>
      <c r="V13" s="42">
        <v>351021</v>
      </c>
      <c r="W13" s="42">
        <v>164675.5</v>
      </c>
      <c r="X13" s="42">
        <v>95611.9</v>
      </c>
      <c r="Y13" s="42">
        <v>22499.1</v>
      </c>
      <c r="Z13" s="42">
        <v>40040.400000000001</v>
      </c>
      <c r="AA13" s="42">
        <v>16972.8</v>
      </c>
      <c r="AB13" s="48">
        <v>311.39999999999998</v>
      </c>
      <c r="AC13" s="52">
        <f t="shared" si="2"/>
        <v>1011965.7000000002</v>
      </c>
      <c r="AD13" s="18"/>
      <c r="AE13" s="137"/>
      <c r="AF13" s="137"/>
      <c r="AG13" s="137"/>
      <c r="AH13" s="137"/>
      <c r="AI13" s="138"/>
      <c r="AJ13" s="138"/>
      <c r="AK13" s="138"/>
      <c r="AL13" s="138"/>
      <c r="AM13" s="138"/>
      <c r="AN13" s="138"/>
      <c r="AO13" s="138"/>
    </row>
    <row r="14" spans="2:41" ht="50.45" customHeight="1">
      <c r="B14" s="16" t="s">
        <v>40</v>
      </c>
      <c r="C14" s="37">
        <v>100.5</v>
      </c>
      <c r="D14" s="37">
        <v>43.2</v>
      </c>
      <c r="E14" s="37">
        <v>56.5</v>
      </c>
      <c r="F14" s="37">
        <v>514.9</v>
      </c>
      <c r="G14" s="37">
        <v>47.1</v>
      </c>
      <c r="H14" s="37">
        <v>30.1</v>
      </c>
      <c r="I14" s="37">
        <v>8</v>
      </c>
      <c r="J14" s="37">
        <v>66.7</v>
      </c>
      <c r="K14" s="37">
        <v>8.6999999999999993</v>
      </c>
      <c r="L14" s="37">
        <v>41.8</v>
      </c>
      <c r="M14" s="37">
        <v>147.80000000000001</v>
      </c>
      <c r="N14" s="37">
        <v>575.9</v>
      </c>
      <c r="O14" s="37">
        <v>285.60000000000002</v>
      </c>
      <c r="P14" s="37">
        <v>27.2</v>
      </c>
      <c r="Q14" s="37">
        <v>89.1</v>
      </c>
      <c r="R14" s="37">
        <v>487</v>
      </c>
      <c r="S14" s="37">
        <v>25.4</v>
      </c>
      <c r="T14" s="37">
        <v>86.5</v>
      </c>
      <c r="U14" s="37">
        <v>0</v>
      </c>
      <c r="V14" s="37">
        <v>13295.8</v>
      </c>
      <c r="W14" s="37">
        <v>5486.3</v>
      </c>
      <c r="X14" s="37">
        <v>676.7</v>
      </c>
      <c r="Y14" s="37">
        <v>1520.4</v>
      </c>
      <c r="Z14" s="37">
        <v>112.9</v>
      </c>
      <c r="AA14" s="37">
        <v>163.19999999999999</v>
      </c>
      <c r="AB14" s="46">
        <v>0</v>
      </c>
      <c r="AC14" s="49">
        <f t="shared" si="2"/>
        <v>23897.300000000003</v>
      </c>
      <c r="AD14" s="18"/>
      <c r="AE14" s="137"/>
      <c r="AF14" s="137"/>
      <c r="AG14" s="137"/>
      <c r="AH14" s="137"/>
      <c r="AI14" s="138"/>
      <c r="AJ14" s="138"/>
      <c r="AK14" s="138"/>
      <c r="AL14" s="138"/>
      <c r="AM14" s="138"/>
      <c r="AN14" s="138"/>
      <c r="AO14" s="138"/>
    </row>
    <row r="15" spans="2:41" ht="25.5" customHeight="1">
      <c r="B15" s="41" t="s">
        <v>64</v>
      </c>
      <c r="C15" s="42">
        <v>5692.8</v>
      </c>
      <c r="D15" s="42">
        <v>1087.9000000000001</v>
      </c>
      <c r="E15" s="42">
        <v>995.9</v>
      </c>
      <c r="F15" s="42">
        <v>1426.8</v>
      </c>
      <c r="G15" s="42">
        <v>1509.3</v>
      </c>
      <c r="H15" s="42">
        <v>1871.5</v>
      </c>
      <c r="I15" s="42">
        <v>1065.0999999999999</v>
      </c>
      <c r="J15" s="42">
        <v>1271.2</v>
      </c>
      <c r="K15" s="42">
        <v>905.6</v>
      </c>
      <c r="L15" s="42">
        <v>591.70000000000005</v>
      </c>
      <c r="M15" s="42">
        <v>953.2</v>
      </c>
      <c r="N15" s="42">
        <v>2586.1999999999998</v>
      </c>
      <c r="O15" s="42">
        <v>2253.6999999999998</v>
      </c>
      <c r="P15" s="42">
        <v>2020.1999999999998</v>
      </c>
      <c r="Q15" s="42">
        <v>4577.3</v>
      </c>
      <c r="R15" s="42">
        <v>619.9</v>
      </c>
      <c r="S15" s="42">
        <v>3024</v>
      </c>
      <c r="T15" s="42">
        <v>2690.2</v>
      </c>
      <c r="U15" s="42">
        <v>999</v>
      </c>
      <c r="V15" s="42">
        <v>61833.1</v>
      </c>
      <c r="W15" s="42">
        <v>32945.199999999997</v>
      </c>
      <c r="X15" s="42">
        <v>8963.1</v>
      </c>
      <c r="Y15" s="42">
        <v>3278.5</v>
      </c>
      <c r="Z15" s="42">
        <v>2923.7</v>
      </c>
      <c r="AA15" s="42">
        <v>1533.2</v>
      </c>
      <c r="AB15" s="48">
        <v>16.100000000000001</v>
      </c>
      <c r="AC15" s="52">
        <f t="shared" si="2"/>
        <v>147634.40000000002</v>
      </c>
      <c r="AD15" s="1"/>
      <c r="AE15" s="132"/>
      <c r="AF15" s="132"/>
      <c r="AG15" s="132"/>
      <c r="AH15" s="132"/>
    </row>
    <row r="16" spans="2:41" ht="30.75" customHeight="1">
      <c r="B16" s="43" t="s">
        <v>33</v>
      </c>
      <c r="C16" s="44">
        <f>C8+C9+C12+C13+C14+C15</f>
        <v>258449.8190245</v>
      </c>
      <c r="D16" s="44">
        <f t="shared" ref="D16:AB16" si="3">D8+D9+D12+D13+D14+D15</f>
        <v>51673.483049999995</v>
      </c>
      <c r="E16" s="44">
        <f t="shared" si="3"/>
        <v>39944.676015999998</v>
      </c>
      <c r="F16" s="44">
        <f t="shared" si="3"/>
        <v>50811.123633500007</v>
      </c>
      <c r="G16" s="44">
        <f t="shared" si="3"/>
        <v>71617.08819200001</v>
      </c>
      <c r="H16" s="44">
        <f t="shared" si="3"/>
        <v>102188.96379950001</v>
      </c>
      <c r="I16" s="44">
        <f t="shared" si="3"/>
        <v>95193.52211949999</v>
      </c>
      <c r="J16" s="44">
        <f t="shared" si="3"/>
        <v>46350.802619499991</v>
      </c>
      <c r="K16" s="44">
        <f t="shared" si="3"/>
        <v>72952.172041500002</v>
      </c>
      <c r="L16" s="44">
        <f t="shared" si="3"/>
        <v>25404.172890999998</v>
      </c>
      <c r="M16" s="44">
        <f t="shared" si="3"/>
        <v>74533.322407</v>
      </c>
      <c r="N16" s="44">
        <f t="shared" si="3"/>
        <v>154024.69999999998</v>
      </c>
      <c r="O16" s="44">
        <f t="shared" si="3"/>
        <v>120397.74152149999</v>
      </c>
      <c r="P16" s="44">
        <f t="shared" si="3"/>
        <v>97562.237453999987</v>
      </c>
      <c r="Q16" s="44">
        <f t="shared" si="3"/>
        <v>181416.32500000001</v>
      </c>
      <c r="R16" s="44">
        <f t="shared" si="3"/>
        <v>139237.23971099997</v>
      </c>
      <c r="S16" s="44">
        <f t="shared" si="3"/>
        <v>112392.00415599998</v>
      </c>
      <c r="T16" s="44">
        <f t="shared" si="3"/>
        <v>81194.078324499991</v>
      </c>
      <c r="U16" s="44">
        <f t="shared" si="3"/>
        <v>41414.392783500007</v>
      </c>
      <c r="V16" s="44">
        <f t="shared" si="3"/>
        <v>2291320.9838219997</v>
      </c>
      <c r="W16" s="44">
        <f t="shared" si="3"/>
        <v>1551247.9147019999</v>
      </c>
      <c r="X16" s="44">
        <f t="shared" si="3"/>
        <v>437975.54959999997</v>
      </c>
      <c r="Y16" s="44">
        <f t="shared" si="3"/>
        <v>178862.590433</v>
      </c>
      <c r="Z16" s="44">
        <f t="shared" si="3"/>
        <v>224046.21356499998</v>
      </c>
      <c r="AA16" s="44">
        <f t="shared" si="3"/>
        <v>254537.22500000001</v>
      </c>
      <c r="AB16" s="44">
        <f t="shared" si="3"/>
        <v>67682.524999999994</v>
      </c>
      <c r="AC16" s="53">
        <f t="shared" si="2"/>
        <v>6822430.8668664992</v>
      </c>
      <c r="AD16" s="1"/>
      <c r="AE16" s="132"/>
      <c r="AF16" s="132"/>
      <c r="AG16" s="132"/>
      <c r="AH16" s="132"/>
    </row>
    <row r="17" spans="2:33" ht="30.75" customHeight="1">
      <c r="B17" s="19" t="s">
        <v>49</v>
      </c>
      <c r="C17" s="20">
        <v>53.195</v>
      </c>
      <c r="D17" s="20">
        <v>15.574</v>
      </c>
      <c r="E17" s="20">
        <v>10.606</v>
      </c>
      <c r="F17" s="20">
        <v>15.872</v>
      </c>
      <c r="G17" s="20">
        <v>18.010999999999999</v>
      </c>
      <c r="H17" s="20">
        <v>24.411999999999999</v>
      </c>
      <c r="I17" s="20">
        <v>20.442</v>
      </c>
      <c r="J17" s="20">
        <v>13.117000000000001</v>
      </c>
      <c r="K17" s="20">
        <v>12.506999999999998</v>
      </c>
      <c r="L17" s="20">
        <v>7.2309999999999999</v>
      </c>
      <c r="M17" s="20">
        <v>9.7839999999999989</v>
      </c>
      <c r="N17" s="20">
        <v>28.64</v>
      </c>
      <c r="O17" s="20">
        <v>33.623000000000005</v>
      </c>
      <c r="P17" s="20">
        <v>25.209</v>
      </c>
      <c r="Q17" s="20">
        <v>45.923000000000002</v>
      </c>
      <c r="R17" s="20">
        <v>26.163</v>
      </c>
      <c r="S17" s="20">
        <v>28.875999999999998</v>
      </c>
      <c r="T17" s="20">
        <v>23.257999999999999</v>
      </c>
      <c r="U17" s="20">
        <v>14.293000000000001</v>
      </c>
      <c r="V17" s="20">
        <v>358.005</v>
      </c>
      <c r="W17" s="20">
        <v>189.71899999999999</v>
      </c>
      <c r="X17" s="20">
        <v>73.284999999999997</v>
      </c>
      <c r="Y17" s="20">
        <v>39.936999999999998</v>
      </c>
      <c r="Z17" s="20">
        <v>38.57</v>
      </c>
      <c r="AA17" s="20">
        <v>30.631</v>
      </c>
      <c r="AB17" s="21">
        <v>2.6230000000000002</v>
      </c>
      <c r="AC17" s="54">
        <f t="shared" si="2"/>
        <v>1159.5060000000001</v>
      </c>
      <c r="AD17" s="22"/>
      <c r="AE17" s="23"/>
      <c r="AF17" s="23"/>
      <c r="AG17" s="23"/>
    </row>
    <row r="18" spans="2:33" ht="24" customHeight="1">
      <c r="B18" s="24" t="s">
        <v>34</v>
      </c>
      <c r="C18" s="25">
        <f t="shared" ref="C18:AC18" si="4">C16/C17</f>
        <v>4858.5359342889369</v>
      </c>
      <c r="D18" s="25">
        <f t="shared" si="4"/>
        <v>3317.9326473609858</v>
      </c>
      <c r="E18" s="25">
        <f t="shared" si="4"/>
        <v>3766.2338314161793</v>
      </c>
      <c r="F18" s="25">
        <f t="shared" si="4"/>
        <v>3201.3056724735388</v>
      </c>
      <c r="G18" s="25">
        <f t="shared" si="4"/>
        <v>3976.297162400756</v>
      </c>
      <c r="H18" s="25">
        <f t="shared" si="4"/>
        <v>4186.0135916557438</v>
      </c>
      <c r="I18" s="25">
        <f t="shared" si="4"/>
        <v>4656.7616730016625</v>
      </c>
      <c r="J18" s="25">
        <f t="shared" si="4"/>
        <v>3533.6435632766629</v>
      </c>
      <c r="K18" s="25">
        <f t="shared" si="4"/>
        <v>5832.9073352122823</v>
      </c>
      <c r="L18" s="25">
        <f t="shared" si="4"/>
        <v>3513.2309350020741</v>
      </c>
      <c r="M18" s="25">
        <f t="shared" si="4"/>
        <v>7617.8784144521678</v>
      </c>
      <c r="N18" s="25">
        <f t="shared" si="4"/>
        <v>5377.957402234636</v>
      </c>
      <c r="O18" s="25">
        <f t="shared" si="4"/>
        <v>3580.814963611218</v>
      </c>
      <c r="P18" s="25">
        <f t="shared" si="4"/>
        <v>3870.1351681542301</v>
      </c>
      <c r="Q18" s="25">
        <f t="shared" si="4"/>
        <v>3950.4458550181826</v>
      </c>
      <c r="R18" s="25">
        <f t="shared" si="4"/>
        <v>5321.9141425295256</v>
      </c>
      <c r="S18" s="25">
        <f t="shared" si="4"/>
        <v>3892.2289844853854</v>
      </c>
      <c r="T18" s="25">
        <f t="shared" si="4"/>
        <v>3491.0172123355401</v>
      </c>
      <c r="U18" s="25">
        <f t="shared" si="4"/>
        <v>2897.5297546701186</v>
      </c>
      <c r="V18" s="25">
        <f t="shared" si="4"/>
        <v>6400.2485546905764</v>
      </c>
      <c r="W18" s="25">
        <f t="shared" si="4"/>
        <v>8176.5554040554707</v>
      </c>
      <c r="X18" s="25">
        <f t="shared" si="4"/>
        <v>5976.3328048031653</v>
      </c>
      <c r="Y18" s="25">
        <f t="shared" si="4"/>
        <v>4478.6185850965276</v>
      </c>
      <c r="Z18" s="25">
        <f t="shared" si="4"/>
        <v>5808.8206783769765</v>
      </c>
      <c r="AA18" s="25">
        <f t="shared" si="4"/>
        <v>8309.7915510430612</v>
      </c>
      <c r="AB18" s="26">
        <f t="shared" si="4"/>
        <v>25803.478841021726</v>
      </c>
      <c r="AC18" s="55">
        <f t="shared" si="4"/>
        <v>5883.9116545032957</v>
      </c>
      <c r="AD18" s="22"/>
      <c r="AE18" s="23"/>
      <c r="AF18" s="23"/>
      <c r="AG18" s="23"/>
    </row>
    <row r="19" spans="2:33" ht="24.6" customHeight="1">
      <c r="B19" s="27" t="s">
        <v>36</v>
      </c>
      <c r="C19" s="28">
        <f t="shared" ref="C19:AC19" si="5">C18/$AC$18</f>
        <v>0.82573230523786334</v>
      </c>
      <c r="D19" s="28">
        <f t="shared" si="5"/>
        <v>0.56389912734695491</v>
      </c>
      <c r="E19" s="28">
        <f t="shared" si="5"/>
        <v>0.64009013944552751</v>
      </c>
      <c r="F19" s="28">
        <f t="shared" si="5"/>
        <v>0.54407779389811128</v>
      </c>
      <c r="G19" s="28">
        <f t="shared" si="5"/>
        <v>0.67579144553563564</v>
      </c>
      <c r="H19" s="28">
        <f t="shared" si="5"/>
        <v>0.7114337939543921</v>
      </c>
      <c r="I19" s="28">
        <f t="shared" si="5"/>
        <v>0.79143976769902302</v>
      </c>
      <c r="J19" s="28">
        <f t="shared" si="5"/>
        <v>0.60056026853703048</v>
      </c>
      <c r="K19" s="28">
        <f t="shared" si="5"/>
        <v>0.99133156269401546</v>
      </c>
      <c r="L19" s="28">
        <f t="shared" si="5"/>
        <v>0.59709104101065091</v>
      </c>
      <c r="M19" s="28">
        <f t="shared" si="5"/>
        <v>1.2946962602033236</v>
      </c>
      <c r="N19" s="28">
        <f t="shared" si="5"/>
        <v>0.9140105627042473</v>
      </c>
      <c r="O19" s="28">
        <f t="shared" si="5"/>
        <v>0.60857728223546903</v>
      </c>
      <c r="P19" s="28">
        <f t="shared" si="5"/>
        <v>0.657748687506583</v>
      </c>
      <c r="Q19" s="28">
        <f t="shared" si="5"/>
        <v>0.67139788749116913</v>
      </c>
      <c r="R19" s="28">
        <f t="shared" si="5"/>
        <v>0.90448573245595199</v>
      </c>
      <c r="S19" s="28">
        <f t="shared" si="5"/>
        <v>0.66150364129047368</v>
      </c>
      <c r="T19" s="28">
        <f t="shared" si="5"/>
        <v>0.59331570854971349</v>
      </c>
      <c r="U19" s="28">
        <f t="shared" si="5"/>
        <v>0.49244956838406512</v>
      </c>
      <c r="V19" s="28">
        <f t="shared" si="5"/>
        <v>1.0877540198605971</v>
      </c>
      <c r="W19" s="28">
        <f t="shared" si="5"/>
        <v>1.3896461884837246</v>
      </c>
      <c r="X19" s="28">
        <f t="shared" si="5"/>
        <v>1.0157074333754033</v>
      </c>
      <c r="Y19" s="28">
        <f t="shared" si="5"/>
        <v>0.76116346540804758</v>
      </c>
      <c r="Z19" s="28">
        <f t="shared" si="5"/>
        <v>0.98723791577175568</v>
      </c>
      <c r="AA19" s="28">
        <f t="shared" si="5"/>
        <v>1.4122903331974912</v>
      </c>
      <c r="AB19" s="29">
        <f t="shared" si="5"/>
        <v>4.3854293463554708</v>
      </c>
      <c r="AC19" s="56">
        <f t="shared" si="5"/>
        <v>1</v>
      </c>
      <c r="AD19" s="30"/>
      <c r="AE19" s="2"/>
      <c r="AF19" s="2"/>
      <c r="AG19" s="2"/>
    </row>
    <row r="20" spans="2:33" ht="23.45" customHeight="1">
      <c r="B20" s="31" t="s">
        <v>37</v>
      </c>
      <c r="C20" s="32">
        <v>0.93506833771657105</v>
      </c>
      <c r="D20" s="32">
        <v>0.89721540170458769</v>
      </c>
      <c r="E20" s="32">
        <v>0.92606550391341047</v>
      </c>
      <c r="F20" s="32">
        <v>0.91431111920727581</v>
      </c>
      <c r="G20" s="32">
        <v>0.98119647466559301</v>
      </c>
      <c r="H20" s="32">
        <v>0.98388959613588467</v>
      </c>
      <c r="I20" s="32">
        <v>1.0041203630903122</v>
      </c>
      <c r="J20" s="32">
        <v>0.87375052700905198</v>
      </c>
      <c r="K20" s="32">
        <v>0.95836821715073051</v>
      </c>
      <c r="L20" s="32">
        <v>1.0559495086160549</v>
      </c>
      <c r="M20" s="32">
        <v>1.13621944149938</v>
      </c>
      <c r="N20" s="32">
        <v>0.99253903428672863</v>
      </c>
      <c r="O20" s="32">
        <v>0.96031447956638361</v>
      </c>
      <c r="P20" s="32">
        <v>1.0259998540238437</v>
      </c>
      <c r="Q20" s="32">
        <v>0.96715538294092107</v>
      </c>
      <c r="R20" s="32">
        <v>0.9304788698588089</v>
      </c>
      <c r="S20" s="32">
        <v>0.92287347148245058</v>
      </c>
      <c r="T20" s="32">
        <v>0.90443903190851582</v>
      </c>
      <c r="U20" s="32">
        <v>0.9212278954550035</v>
      </c>
      <c r="V20" s="32">
        <v>1.0109573435304873</v>
      </c>
      <c r="W20" s="32">
        <v>1.0864868268139969</v>
      </c>
      <c r="X20" s="32">
        <v>1.0313036871378543</v>
      </c>
      <c r="Y20" s="32">
        <v>0.94944507811073742</v>
      </c>
      <c r="Z20" s="32">
        <v>0.88395454855625777</v>
      </c>
      <c r="AA20" s="32">
        <v>0.99225802922913475</v>
      </c>
      <c r="AB20" s="33">
        <v>1.8343179308645201</v>
      </c>
      <c r="AC20" s="57">
        <v>1</v>
      </c>
      <c r="AD20" s="2"/>
      <c r="AE20" s="2"/>
      <c r="AF20" s="2"/>
      <c r="AG20" s="2"/>
    </row>
    <row r="21" spans="2:33" ht="27.6" customHeight="1">
      <c r="B21" s="31" t="s">
        <v>38</v>
      </c>
      <c r="C21" s="32">
        <f t="shared" ref="C21:AC21" si="6">C19/C20</f>
        <v>0.88307161298423875</v>
      </c>
      <c r="D21" s="32">
        <f t="shared" si="6"/>
        <v>0.62849916115530668</v>
      </c>
      <c r="E21" s="32">
        <f t="shared" si="6"/>
        <v>0.69119315722333352</v>
      </c>
      <c r="F21" s="32">
        <f t="shared" si="6"/>
        <v>0.59506855212461651</v>
      </c>
      <c r="G21" s="32">
        <f t="shared" si="6"/>
        <v>0.68874222745852798</v>
      </c>
      <c r="H21" s="32">
        <f t="shared" si="6"/>
        <v>0.72308295234390929</v>
      </c>
      <c r="I21" s="32">
        <f t="shared" si="6"/>
        <v>0.78819212993874888</v>
      </c>
      <c r="J21" s="32">
        <f t="shared" si="6"/>
        <v>0.68733608733011808</v>
      </c>
      <c r="K21" s="32">
        <f t="shared" si="6"/>
        <v>1.0343952824742941</v>
      </c>
      <c r="L21" s="32">
        <f t="shared" si="6"/>
        <v>0.56545415868719751</v>
      </c>
      <c r="M21" s="32">
        <f t="shared" si="6"/>
        <v>1.1394772989404354</v>
      </c>
      <c r="N21" s="32">
        <f t="shared" si="6"/>
        <v>0.92088122595710864</v>
      </c>
      <c r="O21" s="32">
        <f t="shared" si="6"/>
        <v>0.63372707085523017</v>
      </c>
      <c r="P21" s="32">
        <f t="shared" si="6"/>
        <v>0.64108068332268708</v>
      </c>
      <c r="Q21" s="32">
        <f t="shared" si="6"/>
        <v>0.69419857381094852</v>
      </c>
      <c r="R21" s="32">
        <f t="shared" si="6"/>
        <v>0.97206477412345638</v>
      </c>
      <c r="S21" s="32">
        <f t="shared" si="6"/>
        <v>0.71678692879520356</v>
      </c>
      <c r="T21" s="32">
        <f t="shared" si="6"/>
        <v>0.6560040949335405</v>
      </c>
      <c r="U21" s="32">
        <f t="shared" si="6"/>
        <v>0.53455781225647692</v>
      </c>
      <c r="V21" s="32">
        <f t="shared" si="6"/>
        <v>1.0759643092970854</v>
      </c>
      <c r="W21" s="32">
        <f t="shared" si="6"/>
        <v>1.2790271857770326</v>
      </c>
      <c r="X21" s="32">
        <f t="shared" si="6"/>
        <v>0.9848771472874932</v>
      </c>
      <c r="Y21" s="32">
        <f t="shared" si="6"/>
        <v>0.80169299199765842</v>
      </c>
      <c r="Z21" s="32">
        <f t="shared" si="6"/>
        <v>1.1168423957817608</v>
      </c>
      <c r="AA21" s="32">
        <f t="shared" si="6"/>
        <v>1.42330955416372</v>
      </c>
      <c r="AB21" s="33">
        <f t="shared" si="6"/>
        <v>2.390768400921973</v>
      </c>
      <c r="AC21" s="57">
        <f t="shared" si="6"/>
        <v>1</v>
      </c>
      <c r="AD21" s="2"/>
      <c r="AE21" s="2"/>
      <c r="AF21" s="2"/>
      <c r="AG21" s="2"/>
    </row>
    <row r="22" spans="2:33" ht="24" customHeight="1">
      <c r="B22" s="61" t="s">
        <v>41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</row>
    <row r="23" spans="2:33" ht="32.450000000000003" customHeight="1">
      <c r="B23" s="161" t="s">
        <v>42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3"/>
      <c r="AC23" s="58"/>
    </row>
    <row r="24" spans="2:33" ht="95.45" customHeight="1">
      <c r="B24" s="139" t="s">
        <v>65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  <c r="AC24" s="65">
        <f>294365.4/1171.096</f>
        <v>251.35889798957561</v>
      </c>
    </row>
    <row r="25" spans="2:33" ht="32.450000000000003" customHeight="1">
      <c r="B25" s="59" t="s">
        <v>66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66">
        <v>1.05</v>
      </c>
    </row>
    <row r="26" spans="2:33" ht="76.900000000000006" customHeight="1">
      <c r="B26" s="67" t="s">
        <v>67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83"/>
      <c r="AC26" s="120">
        <f>ROUND(AC24*AC25,1)</f>
        <v>263.89999999999998</v>
      </c>
    </row>
    <row r="27" spans="2:33" ht="81.599999999999994" customHeight="1">
      <c r="B27" s="45" t="s">
        <v>50</v>
      </c>
      <c r="C27" s="145">
        <f>$AC$26*C17</f>
        <v>14038.160499999998</v>
      </c>
      <c r="D27" s="145">
        <f t="shared" ref="D27:AB27" si="7">$AC$26*D17</f>
        <v>4109.9785999999995</v>
      </c>
      <c r="E27" s="145">
        <f t="shared" si="7"/>
        <v>2798.9233999999997</v>
      </c>
      <c r="F27" s="145">
        <f t="shared" si="7"/>
        <v>4188.6207999999997</v>
      </c>
      <c r="G27" s="145">
        <f t="shared" si="7"/>
        <v>4753.102899999999</v>
      </c>
      <c r="H27" s="145">
        <f t="shared" si="7"/>
        <v>6442.3267999999989</v>
      </c>
      <c r="I27" s="145">
        <f t="shared" si="7"/>
        <v>5394.6437999999998</v>
      </c>
      <c r="J27" s="145">
        <f t="shared" si="7"/>
        <v>3461.5762999999997</v>
      </c>
      <c r="K27" s="145">
        <f t="shared" si="7"/>
        <v>3300.597299999999</v>
      </c>
      <c r="L27" s="145">
        <f t="shared" si="7"/>
        <v>1908.2608999999998</v>
      </c>
      <c r="M27" s="145">
        <f t="shared" si="7"/>
        <v>2581.9975999999997</v>
      </c>
      <c r="N27" s="145">
        <f t="shared" si="7"/>
        <v>7558.0959999999995</v>
      </c>
      <c r="O27" s="145">
        <f t="shared" si="7"/>
        <v>8873.1097000000009</v>
      </c>
      <c r="P27" s="145">
        <f t="shared" si="7"/>
        <v>6652.655099999999</v>
      </c>
      <c r="Q27" s="145">
        <f t="shared" si="7"/>
        <v>12119.0797</v>
      </c>
      <c r="R27" s="145">
        <f t="shared" si="7"/>
        <v>6904.4156999999996</v>
      </c>
      <c r="S27" s="145">
        <f t="shared" si="7"/>
        <v>7620.3763999999983</v>
      </c>
      <c r="T27" s="145">
        <f t="shared" si="7"/>
        <v>6137.7861999999996</v>
      </c>
      <c r="U27" s="145">
        <f t="shared" si="7"/>
        <v>3771.9227000000001</v>
      </c>
      <c r="V27" s="145">
        <f t="shared" si="7"/>
        <v>94477.519499999995</v>
      </c>
      <c r="W27" s="145">
        <f t="shared" si="7"/>
        <v>50066.844099999995</v>
      </c>
      <c r="X27" s="145">
        <f t="shared" si="7"/>
        <v>19339.911499999998</v>
      </c>
      <c r="Y27" s="145">
        <f t="shared" si="7"/>
        <v>10539.374299999998</v>
      </c>
      <c r="Z27" s="145">
        <f t="shared" si="7"/>
        <v>10178.623</v>
      </c>
      <c r="AA27" s="145">
        <f t="shared" si="7"/>
        <v>8083.5208999999995</v>
      </c>
      <c r="AB27" s="146">
        <f t="shared" si="7"/>
        <v>692.2097</v>
      </c>
      <c r="AC27" s="147">
        <f>SUM(C27:AB27)</f>
        <v>305993.63340000005</v>
      </c>
    </row>
    <row r="28" spans="2:33" ht="69" customHeight="1">
      <c r="B28" s="106" t="s">
        <v>59</v>
      </c>
      <c r="C28" s="107">
        <f>ROUND(C27,1)</f>
        <v>14038.2</v>
      </c>
      <c r="D28" s="107">
        <f t="shared" ref="D28:AB28" si="8">ROUND(D27,1)</f>
        <v>4110</v>
      </c>
      <c r="E28" s="107">
        <f t="shared" si="8"/>
        <v>2798.9</v>
      </c>
      <c r="F28" s="107">
        <f t="shared" si="8"/>
        <v>4188.6000000000004</v>
      </c>
      <c r="G28" s="107">
        <f t="shared" si="8"/>
        <v>4753.1000000000004</v>
      </c>
      <c r="H28" s="107">
        <f t="shared" si="8"/>
        <v>6442.3</v>
      </c>
      <c r="I28" s="107">
        <f t="shared" si="8"/>
        <v>5394.6</v>
      </c>
      <c r="J28" s="107">
        <f t="shared" si="8"/>
        <v>3461.6</v>
      </c>
      <c r="K28" s="107">
        <f t="shared" si="8"/>
        <v>3300.6</v>
      </c>
      <c r="L28" s="107">
        <f t="shared" si="8"/>
        <v>1908.3</v>
      </c>
      <c r="M28" s="107">
        <f t="shared" si="8"/>
        <v>2582</v>
      </c>
      <c r="N28" s="107">
        <f t="shared" si="8"/>
        <v>7558.1</v>
      </c>
      <c r="O28" s="107">
        <f t="shared" si="8"/>
        <v>8873.1</v>
      </c>
      <c r="P28" s="107">
        <f t="shared" si="8"/>
        <v>6652.7</v>
      </c>
      <c r="Q28" s="107">
        <f t="shared" si="8"/>
        <v>12119.1</v>
      </c>
      <c r="R28" s="107">
        <f t="shared" si="8"/>
        <v>6904.4</v>
      </c>
      <c r="S28" s="107">
        <f t="shared" si="8"/>
        <v>7620.4</v>
      </c>
      <c r="T28" s="107">
        <f t="shared" si="8"/>
        <v>6137.8</v>
      </c>
      <c r="U28" s="107">
        <f t="shared" si="8"/>
        <v>3771.9</v>
      </c>
      <c r="V28" s="107">
        <f t="shared" si="8"/>
        <v>94477.5</v>
      </c>
      <c r="W28" s="107">
        <f t="shared" si="8"/>
        <v>50066.8</v>
      </c>
      <c r="X28" s="107">
        <f t="shared" si="8"/>
        <v>19339.900000000001</v>
      </c>
      <c r="Y28" s="107">
        <f t="shared" si="8"/>
        <v>10539.4</v>
      </c>
      <c r="Z28" s="107">
        <f t="shared" si="8"/>
        <v>10178.6</v>
      </c>
      <c r="AA28" s="107">
        <f t="shared" si="8"/>
        <v>8083.5</v>
      </c>
      <c r="AB28" s="107">
        <f t="shared" si="8"/>
        <v>692.2</v>
      </c>
      <c r="AC28" s="108">
        <f>SUM(C28:AB28)</f>
        <v>305993.60000000003</v>
      </c>
    </row>
    <row r="29" spans="2:33" s="140" customFormat="1" ht="54" customHeight="1">
      <c r="B29" s="124" t="s">
        <v>63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5">
        <f t="shared" ref="V29:AA29" si="9">V28/V6</f>
        <v>1.2866620022573017E-2</v>
      </c>
      <c r="W29" s="125">
        <f t="shared" si="9"/>
        <v>9.3316490683541236E-3</v>
      </c>
      <c r="X29" s="125"/>
      <c r="Y29" s="125"/>
      <c r="Z29" s="125">
        <f t="shared" si="9"/>
        <v>1.4080306411902568E-2</v>
      </c>
      <c r="AA29" s="125">
        <f t="shared" si="9"/>
        <v>8.5678209244343315E-3</v>
      </c>
      <c r="AB29" s="125"/>
      <c r="AC29" s="123"/>
    </row>
    <row r="30" spans="2:33" ht="28.9" customHeight="1">
      <c r="B30" s="3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2"/>
      <c r="AC30" s="143"/>
    </row>
    <row r="31" spans="2:33" ht="24" customHeight="1">
      <c r="B31" s="60" t="s">
        <v>35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  <c r="W31" s="69"/>
      <c r="X31" s="69"/>
      <c r="Y31" s="69"/>
      <c r="Z31" s="69"/>
      <c r="AA31" s="69"/>
      <c r="AB31" s="69"/>
      <c r="AC31" s="70"/>
    </row>
    <row r="32" spans="2:33" s="140" customFormat="1" ht="24" customHeight="1">
      <c r="B32" s="161" t="s">
        <v>43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71"/>
    </row>
    <row r="33" spans="2:35" s="140" customFormat="1" ht="56.45" customHeight="1">
      <c r="B33" s="31" t="s">
        <v>68</v>
      </c>
      <c r="C33" s="73"/>
      <c r="D33" s="73">
        <f>D21</f>
        <v>0.62849916115530668</v>
      </c>
      <c r="E33" s="73"/>
      <c r="F33" s="73">
        <f>F21</f>
        <v>0.59506855212461651</v>
      </c>
      <c r="G33" s="73"/>
      <c r="H33" s="73"/>
      <c r="I33" s="73"/>
      <c r="J33" s="73"/>
      <c r="K33" s="73"/>
      <c r="L33" s="73">
        <f>L21</f>
        <v>0.56545415868719751</v>
      </c>
      <c r="M33" s="73"/>
      <c r="N33" s="73"/>
      <c r="O33" s="73">
        <f>O21</f>
        <v>0.63372707085523017</v>
      </c>
      <c r="P33" s="73"/>
      <c r="Q33" s="73"/>
      <c r="R33" s="73"/>
      <c r="S33" s="73"/>
      <c r="T33" s="73"/>
      <c r="U33" s="73">
        <f>U21</f>
        <v>0.53455781225647692</v>
      </c>
      <c r="V33" s="73"/>
      <c r="W33" s="73"/>
      <c r="X33" s="73"/>
      <c r="Y33" s="73"/>
      <c r="Z33" s="73"/>
      <c r="AA33" s="73"/>
      <c r="AB33" s="78"/>
      <c r="AC33" s="79">
        <f>SUM(C33:AB33)/5</f>
        <v>0.59146135101576558</v>
      </c>
    </row>
    <row r="34" spans="2:35" s="140" customFormat="1" ht="55.9" customHeight="1">
      <c r="B34" s="31" t="s">
        <v>44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>
        <f>M21</f>
        <v>1.1394772989404354</v>
      </c>
      <c r="N34" s="74"/>
      <c r="O34" s="74"/>
      <c r="P34" s="74"/>
      <c r="Q34" s="74"/>
      <c r="R34" s="74"/>
      <c r="S34" s="74"/>
      <c r="T34" s="74"/>
      <c r="U34" s="74"/>
      <c r="V34" s="74"/>
      <c r="W34" s="74">
        <f>W21</f>
        <v>1.2790271857770326</v>
      </c>
      <c r="X34" s="74"/>
      <c r="Y34" s="74"/>
      <c r="Z34" s="74">
        <f>Z21</f>
        <v>1.1168423957817608</v>
      </c>
      <c r="AA34" s="74">
        <f>AA21</f>
        <v>1.42330955416372</v>
      </c>
      <c r="AB34" s="76">
        <f>AB21</f>
        <v>2.390768400921973</v>
      </c>
      <c r="AC34" s="79">
        <f>SUM(C34:AB34)/5</f>
        <v>1.4698849671169842</v>
      </c>
    </row>
    <row r="35" spans="2:35" s="140" customFormat="1" ht="55.9" customHeight="1">
      <c r="B35" s="77" t="s">
        <v>45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6"/>
      <c r="AC35" s="80">
        <f>(AC33+AC34)/2</f>
        <v>1.0306731590663749</v>
      </c>
    </row>
    <row r="36" spans="2:35" s="140" customFormat="1" ht="42.6" customHeight="1">
      <c r="B36" s="77" t="s">
        <v>46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6"/>
      <c r="AC36" s="80">
        <f>1/AC35</f>
        <v>0.97023968384491555</v>
      </c>
    </row>
    <row r="37" spans="2:35" ht="48.6" customHeight="1">
      <c r="B37" s="75" t="s">
        <v>47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5"/>
      <c r="AC37" s="121">
        <f>ROUND(AC35*AC36,3)</f>
        <v>1</v>
      </c>
      <c r="AD37" s="23"/>
      <c r="AE37" s="23"/>
      <c r="AF37" s="23"/>
      <c r="AG37" s="23"/>
      <c r="AH37" s="23"/>
      <c r="AI37" s="23"/>
    </row>
    <row r="38" spans="2:35" ht="73.900000000000006" customHeight="1">
      <c r="B38" s="152" t="s">
        <v>51</v>
      </c>
      <c r="C38" s="148">
        <f t="shared" ref="C38:AB38" si="10">IF(C21&lt;$AC$37,$AC16/$AC17*($AC37-C21)*C20*C17,0)</f>
        <v>34221.596548579757</v>
      </c>
      <c r="D38" s="148">
        <f t="shared" si="10"/>
        <v>30543.783485429965</v>
      </c>
      <c r="E38" s="148">
        <f t="shared" si="10"/>
        <v>17846.225989549443</v>
      </c>
      <c r="F38" s="148">
        <f t="shared" si="10"/>
        <v>34575.885060011628</v>
      </c>
      <c r="G38" s="148">
        <f t="shared" si="10"/>
        <v>32365.338522662802</v>
      </c>
      <c r="H38" s="148">
        <f t="shared" si="10"/>
        <v>39135.020493380092</v>
      </c>
      <c r="I38" s="148">
        <f t="shared" si="10"/>
        <v>25580.992752778126</v>
      </c>
      <c r="J38" s="148">
        <f t="shared" si="10"/>
        <v>21084.624493813117</v>
      </c>
      <c r="K38" s="148">
        <f t="shared" si="10"/>
        <v>0</v>
      </c>
      <c r="L38" s="148">
        <f t="shared" si="10"/>
        <v>19522.851697483544</v>
      </c>
      <c r="M38" s="148">
        <f t="shared" si="10"/>
        <v>0</v>
      </c>
      <c r="N38" s="148">
        <f t="shared" si="10"/>
        <v>13233.243433384665</v>
      </c>
      <c r="O38" s="148">
        <f t="shared" si="10"/>
        <v>69585.844565520558</v>
      </c>
      <c r="P38" s="148">
        <f t="shared" si="10"/>
        <v>54621.785543448772</v>
      </c>
      <c r="Q38" s="148">
        <f t="shared" si="10"/>
        <v>79915.708576613499</v>
      </c>
      <c r="R38" s="148">
        <f t="shared" si="10"/>
        <v>4001.40386247474</v>
      </c>
      <c r="S38" s="148">
        <f t="shared" si="10"/>
        <v>44407.735963301231</v>
      </c>
      <c r="T38" s="148">
        <f t="shared" si="10"/>
        <v>42576.609925130106</v>
      </c>
      <c r="U38" s="148">
        <f t="shared" si="10"/>
        <v>36059.721024100065</v>
      </c>
      <c r="V38" s="148">
        <f t="shared" si="10"/>
        <v>0</v>
      </c>
      <c r="W38" s="148">
        <f t="shared" si="10"/>
        <v>0</v>
      </c>
      <c r="X38" s="148">
        <f t="shared" si="10"/>
        <v>6725.1430764964025</v>
      </c>
      <c r="Y38" s="148">
        <f t="shared" si="10"/>
        <v>44243.501572756766</v>
      </c>
      <c r="Z38" s="148">
        <f t="shared" si="10"/>
        <v>0</v>
      </c>
      <c r="AA38" s="148">
        <f t="shared" si="10"/>
        <v>0</v>
      </c>
      <c r="AB38" s="149">
        <f t="shared" si="10"/>
        <v>0</v>
      </c>
      <c r="AC38" s="150">
        <f>SUM(C38:AB38)</f>
        <v>650247.01658691536</v>
      </c>
      <c r="AD38" s="23"/>
      <c r="AE38" s="23"/>
      <c r="AF38" s="23"/>
      <c r="AG38" s="23"/>
      <c r="AH38" s="23"/>
      <c r="AI38" s="23"/>
    </row>
    <row r="39" spans="2:35" s="36" customFormat="1" ht="74.45" customHeight="1">
      <c r="B39" s="106" t="s">
        <v>60</v>
      </c>
      <c r="C39" s="107">
        <f>ROUND(C38,1)</f>
        <v>34221.599999999999</v>
      </c>
      <c r="D39" s="107">
        <f t="shared" ref="D39:AB39" si="11">ROUND(D38,1)</f>
        <v>30543.8</v>
      </c>
      <c r="E39" s="107">
        <f t="shared" si="11"/>
        <v>17846.2</v>
      </c>
      <c r="F39" s="107">
        <f t="shared" si="11"/>
        <v>34575.9</v>
      </c>
      <c r="G39" s="107">
        <f t="shared" si="11"/>
        <v>32365.3</v>
      </c>
      <c r="H39" s="107">
        <f t="shared" si="11"/>
        <v>39135</v>
      </c>
      <c r="I39" s="107">
        <f t="shared" si="11"/>
        <v>25581</v>
      </c>
      <c r="J39" s="107">
        <f t="shared" si="11"/>
        <v>21084.6</v>
      </c>
      <c r="K39" s="107">
        <f t="shared" si="11"/>
        <v>0</v>
      </c>
      <c r="L39" s="107">
        <f t="shared" si="11"/>
        <v>19522.900000000001</v>
      </c>
      <c r="M39" s="107">
        <f t="shared" si="11"/>
        <v>0</v>
      </c>
      <c r="N39" s="107">
        <f t="shared" si="11"/>
        <v>13233.2</v>
      </c>
      <c r="O39" s="107">
        <f t="shared" si="11"/>
        <v>69585.8</v>
      </c>
      <c r="P39" s="107">
        <f t="shared" si="11"/>
        <v>54621.8</v>
      </c>
      <c r="Q39" s="107">
        <f t="shared" si="11"/>
        <v>79915.7</v>
      </c>
      <c r="R39" s="107">
        <f t="shared" si="11"/>
        <v>4001.4</v>
      </c>
      <c r="S39" s="107">
        <f t="shared" si="11"/>
        <v>44407.7</v>
      </c>
      <c r="T39" s="107">
        <f t="shared" si="11"/>
        <v>42576.6</v>
      </c>
      <c r="U39" s="107">
        <f t="shared" si="11"/>
        <v>36059.699999999997</v>
      </c>
      <c r="V39" s="107">
        <f t="shared" si="11"/>
        <v>0</v>
      </c>
      <c r="W39" s="107">
        <f t="shared" si="11"/>
        <v>0</v>
      </c>
      <c r="X39" s="107">
        <f t="shared" si="11"/>
        <v>6725.1</v>
      </c>
      <c r="Y39" s="107">
        <f t="shared" si="11"/>
        <v>44243.5</v>
      </c>
      <c r="Z39" s="107">
        <f t="shared" si="11"/>
        <v>0</v>
      </c>
      <c r="AA39" s="107">
        <f t="shared" si="11"/>
        <v>0</v>
      </c>
      <c r="AB39" s="109">
        <f t="shared" si="11"/>
        <v>0</v>
      </c>
      <c r="AC39" s="151">
        <f>SUM(C39:AB39)</f>
        <v>650246.79999999993</v>
      </c>
    </row>
    <row r="40" spans="2:35" s="113" customFormat="1" ht="44.45" customHeight="1">
      <c r="B40" s="115" t="s">
        <v>61</v>
      </c>
      <c r="C40" s="116">
        <f t="shared" ref="C40:AB40" si="12">ROUND(C21+(C39/(C17*C20*$AC$18)),3)</f>
        <v>1</v>
      </c>
      <c r="D40" s="116">
        <f t="shared" si="12"/>
        <v>1</v>
      </c>
      <c r="E40" s="116">
        <f t="shared" si="12"/>
        <v>1</v>
      </c>
      <c r="F40" s="116">
        <f t="shared" si="12"/>
        <v>1</v>
      </c>
      <c r="G40" s="116">
        <f t="shared" si="12"/>
        <v>1</v>
      </c>
      <c r="H40" s="116">
        <f t="shared" si="12"/>
        <v>1</v>
      </c>
      <c r="I40" s="116">
        <f t="shared" si="12"/>
        <v>1</v>
      </c>
      <c r="J40" s="116">
        <f t="shared" si="12"/>
        <v>1</v>
      </c>
      <c r="K40" s="116">
        <f t="shared" si="12"/>
        <v>1.034</v>
      </c>
      <c r="L40" s="116">
        <f t="shared" si="12"/>
        <v>1</v>
      </c>
      <c r="M40" s="116">
        <f t="shared" si="12"/>
        <v>1.139</v>
      </c>
      <c r="N40" s="116">
        <f t="shared" si="12"/>
        <v>1</v>
      </c>
      <c r="O40" s="116">
        <f t="shared" si="12"/>
        <v>1</v>
      </c>
      <c r="P40" s="116">
        <f t="shared" si="12"/>
        <v>1</v>
      </c>
      <c r="Q40" s="116">
        <f t="shared" si="12"/>
        <v>1</v>
      </c>
      <c r="R40" s="116">
        <f t="shared" si="12"/>
        <v>1</v>
      </c>
      <c r="S40" s="116">
        <f t="shared" si="12"/>
        <v>1</v>
      </c>
      <c r="T40" s="116">
        <f t="shared" si="12"/>
        <v>1</v>
      </c>
      <c r="U40" s="116">
        <f t="shared" si="12"/>
        <v>1</v>
      </c>
      <c r="V40" s="116">
        <f t="shared" si="12"/>
        <v>1.0760000000000001</v>
      </c>
      <c r="W40" s="116">
        <f t="shared" si="12"/>
        <v>1.2789999999999999</v>
      </c>
      <c r="X40" s="116">
        <f t="shared" si="12"/>
        <v>1</v>
      </c>
      <c r="Y40" s="116">
        <f t="shared" si="12"/>
        <v>1</v>
      </c>
      <c r="Z40" s="116">
        <f t="shared" si="12"/>
        <v>1.117</v>
      </c>
      <c r="AA40" s="116">
        <f t="shared" si="12"/>
        <v>1.423</v>
      </c>
      <c r="AB40" s="116">
        <f t="shared" si="12"/>
        <v>2.391</v>
      </c>
      <c r="AC40" s="114"/>
    </row>
    <row r="42" spans="2:35">
      <c r="C42" s="144"/>
    </row>
  </sheetData>
  <mergeCells count="2">
    <mergeCell ref="B23:AB23"/>
    <mergeCell ref="B32:AB32"/>
  </mergeCells>
  <pageMargins left="0.19685039370078741" right="0.51181102362204722" top="0.23622047244094491" bottom="0.19685039370078741" header="0.15748031496062992" footer="0.15748031496062992"/>
  <pageSetup paperSize="8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0"/>
  <sheetViews>
    <sheetView tabSelected="1" view="pageBreakPreview" zoomScale="6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4" sqref="B24"/>
    </sheetView>
  </sheetViews>
  <sheetFormatPr defaultColWidth="9.140625" defaultRowHeight="12.75"/>
  <cols>
    <col min="1" max="1" width="3.7109375" style="95" hidden="1" customWidth="1"/>
    <col min="2" max="2" width="51.5703125" style="95" customWidth="1"/>
    <col min="3" max="3" width="11.85546875" style="95" customWidth="1"/>
    <col min="4" max="4" width="13" style="95" bestFit="1" customWidth="1"/>
    <col min="5" max="5" width="11.5703125" style="95" customWidth="1"/>
    <col min="6" max="6" width="11.7109375" style="95" customWidth="1"/>
    <col min="7" max="7" width="11.28515625" style="95" customWidth="1"/>
    <col min="8" max="8" width="11.140625" style="95" customWidth="1"/>
    <col min="9" max="9" width="12.140625" style="95" customWidth="1"/>
    <col min="10" max="10" width="11.85546875" style="95" customWidth="1"/>
    <col min="11" max="11" width="11.5703125" style="95" customWidth="1"/>
    <col min="12" max="12" width="12.140625" style="95" customWidth="1"/>
    <col min="13" max="13" width="13.85546875" style="95" customWidth="1"/>
    <col min="14" max="15" width="11.5703125" style="95" customWidth="1"/>
    <col min="16" max="16" width="12.140625" style="95" customWidth="1"/>
    <col min="17" max="17" width="11.42578125" style="95" customWidth="1"/>
    <col min="18" max="18" width="11.7109375" style="95" customWidth="1"/>
    <col min="19" max="19" width="12.42578125" style="95" customWidth="1"/>
    <col min="20" max="20" width="12.140625" style="95" customWidth="1"/>
    <col min="21" max="21" width="11.5703125" style="95" customWidth="1"/>
    <col min="22" max="23" width="13.85546875" style="95" customWidth="1"/>
    <col min="24" max="24" width="11.7109375" style="95" customWidth="1"/>
    <col min="25" max="25" width="11.42578125" style="95" customWidth="1"/>
    <col min="26" max="26" width="11.85546875" style="95" customWidth="1"/>
    <col min="27" max="28" width="11.7109375" style="95" customWidth="1"/>
    <col min="29" max="29" width="17.42578125" style="95" customWidth="1"/>
    <col min="30" max="30" width="15.7109375" style="95" customWidth="1"/>
    <col min="31" max="31" width="14.7109375" style="95" customWidth="1"/>
    <col min="32" max="32" width="7.5703125" style="95" customWidth="1"/>
    <col min="33" max="33" width="8.42578125" style="95" customWidth="1"/>
    <col min="34" max="16384" width="9.140625" style="95"/>
  </cols>
  <sheetData>
    <row r="1" spans="2:37" ht="14.25" hidden="1">
      <c r="AA1" s="2"/>
      <c r="AB1" s="126"/>
    </row>
    <row r="2" spans="2:37" ht="14.25" hidden="1">
      <c r="AA2" s="84"/>
    </row>
    <row r="3" spans="2:37" ht="14.25" hidden="1">
      <c r="AA3" s="84"/>
      <c r="AB3" s="126"/>
    </row>
    <row r="4" spans="2:37" ht="14.25" hidden="1">
      <c r="AA4" s="84"/>
      <c r="AB4" s="126"/>
    </row>
    <row r="5" spans="2:37" ht="39.75" customHeight="1">
      <c r="C5" s="164" t="s">
        <v>70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85"/>
      <c r="AE5" s="85"/>
      <c r="AF5" s="85"/>
      <c r="AG5" s="85"/>
    </row>
    <row r="6" spans="2:37" ht="20.45" customHeight="1" thickBot="1">
      <c r="B6" s="86"/>
      <c r="C6" s="85"/>
      <c r="D6" s="86"/>
      <c r="E6" s="85"/>
      <c r="F6" s="85"/>
      <c r="G6" s="85"/>
      <c r="H6" s="86"/>
      <c r="I6" s="85"/>
      <c r="J6" s="85"/>
      <c r="K6" s="85"/>
      <c r="L6" s="85"/>
      <c r="M6" s="85"/>
      <c r="N6" s="85"/>
      <c r="O6" s="85"/>
      <c r="P6" s="159" t="s">
        <v>69</v>
      </c>
      <c r="Q6" s="87"/>
      <c r="R6" s="85"/>
      <c r="S6" s="85"/>
      <c r="T6" s="85"/>
      <c r="U6" s="85"/>
      <c r="V6" s="85"/>
      <c r="W6" s="85"/>
      <c r="X6" s="85"/>
      <c r="Y6" s="85"/>
      <c r="Z6" s="85"/>
      <c r="AA6" s="85"/>
      <c r="AB6" s="158"/>
      <c r="AC6" s="159" t="s">
        <v>69</v>
      </c>
      <c r="AD6" s="85"/>
      <c r="AE6" s="85"/>
      <c r="AF6" s="85"/>
      <c r="AG6" s="85"/>
    </row>
    <row r="7" spans="2:37" ht="21.75" customHeight="1" thickBot="1">
      <c r="B7" s="88" t="s">
        <v>0</v>
      </c>
      <c r="C7" s="89" t="s">
        <v>1</v>
      </c>
      <c r="D7" s="89" t="s">
        <v>2</v>
      </c>
      <c r="E7" s="89" t="s">
        <v>3</v>
      </c>
      <c r="F7" s="89" t="s">
        <v>4</v>
      </c>
      <c r="G7" s="89" t="s">
        <v>5</v>
      </c>
      <c r="H7" s="89" t="s">
        <v>6</v>
      </c>
      <c r="I7" s="89" t="s">
        <v>7</v>
      </c>
      <c r="J7" s="89" t="s">
        <v>8</v>
      </c>
      <c r="K7" s="89" t="s">
        <v>9</v>
      </c>
      <c r="L7" s="89" t="s">
        <v>10</v>
      </c>
      <c r="M7" s="89" t="s">
        <v>11</v>
      </c>
      <c r="N7" s="89" t="s">
        <v>12</v>
      </c>
      <c r="O7" s="89" t="s">
        <v>27</v>
      </c>
      <c r="P7" s="89" t="s">
        <v>13</v>
      </c>
      <c r="Q7" s="89" t="s">
        <v>14</v>
      </c>
      <c r="R7" s="89" t="s">
        <v>15</v>
      </c>
      <c r="S7" s="89" t="s">
        <v>16</v>
      </c>
      <c r="T7" s="89" t="s">
        <v>17</v>
      </c>
      <c r="U7" s="89" t="s">
        <v>18</v>
      </c>
      <c r="V7" s="89" t="s">
        <v>19</v>
      </c>
      <c r="W7" s="89" t="s">
        <v>20</v>
      </c>
      <c r="X7" s="89" t="s">
        <v>21</v>
      </c>
      <c r="Y7" s="89" t="s">
        <v>22</v>
      </c>
      <c r="Z7" s="89" t="s">
        <v>23</v>
      </c>
      <c r="AA7" s="90" t="s">
        <v>24</v>
      </c>
      <c r="AB7" s="91" t="s">
        <v>25</v>
      </c>
      <c r="AC7" s="92" t="s">
        <v>52</v>
      </c>
      <c r="AD7" s="93"/>
      <c r="AE7" s="1"/>
      <c r="AF7" s="1"/>
      <c r="AG7" s="1"/>
      <c r="AH7" s="127"/>
      <c r="AI7" s="127"/>
      <c r="AJ7" s="127"/>
      <c r="AK7" s="127"/>
    </row>
    <row r="8" spans="2:37" ht="9" customHeight="1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2:37" ht="56.25">
      <c r="B9" s="97" t="s">
        <v>71</v>
      </c>
      <c r="C9" s="98">
        <f>C11+C12+C13+C14+C15+C16+C17</f>
        <v>560436.19999999995</v>
      </c>
      <c r="D9" s="98">
        <f t="shared" ref="D9:AB9" si="0">D11+D12+D13+D14+D15+D16+D17</f>
        <v>245294.59999999998</v>
      </c>
      <c r="E9" s="98">
        <f t="shared" si="0"/>
        <v>175653.1</v>
      </c>
      <c r="F9" s="98">
        <f t="shared" si="0"/>
        <v>215540.2</v>
      </c>
      <c r="G9" s="98">
        <f t="shared" si="0"/>
        <v>222767.1</v>
      </c>
      <c r="H9" s="98">
        <f t="shared" si="0"/>
        <v>277722.5</v>
      </c>
      <c r="I9" s="98">
        <f t="shared" si="0"/>
        <v>270350.3</v>
      </c>
      <c r="J9" s="98">
        <f t="shared" si="0"/>
        <v>218092.4</v>
      </c>
      <c r="K9" s="98">
        <f t="shared" si="0"/>
        <v>189422</v>
      </c>
      <c r="L9" s="98">
        <f t="shared" si="0"/>
        <v>171470</v>
      </c>
      <c r="M9" s="98">
        <f t="shared" si="0"/>
        <v>271044.59999999998</v>
      </c>
      <c r="N9" s="98">
        <f t="shared" si="0"/>
        <v>329816.5</v>
      </c>
      <c r="O9" s="98">
        <f t="shared" si="0"/>
        <v>332994.8</v>
      </c>
      <c r="P9" s="98">
        <f t="shared" si="0"/>
        <v>440309.89999999997</v>
      </c>
      <c r="Q9" s="98">
        <f t="shared" si="0"/>
        <v>469756.1</v>
      </c>
      <c r="R9" s="98">
        <f t="shared" si="0"/>
        <v>419619.2</v>
      </c>
      <c r="S9" s="98">
        <f t="shared" si="0"/>
        <v>370302.8</v>
      </c>
      <c r="T9" s="98">
        <f t="shared" si="0"/>
        <v>322233.59999999998</v>
      </c>
      <c r="U9" s="98">
        <f t="shared" si="0"/>
        <v>178567.00000000003</v>
      </c>
      <c r="V9" s="98">
        <f t="shared" si="0"/>
        <v>3989977.4000000004</v>
      </c>
      <c r="W9" s="98">
        <f t="shared" si="0"/>
        <v>2559845.4</v>
      </c>
      <c r="X9" s="98">
        <f t="shared" si="0"/>
        <v>717015.6</v>
      </c>
      <c r="Y9" s="98">
        <f t="shared" si="0"/>
        <v>363920.4</v>
      </c>
      <c r="Z9" s="98">
        <f t="shared" si="0"/>
        <v>381808.5</v>
      </c>
      <c r="AA9" s="98">
        <f t="shared" si="0"/>
        <v>382283.4</v>
      </c>
      <c r="AB9" s="98">
        <f t="shared" si="0"/>
        <v>95590.7</v>
      </c>
      <c r="AC9" s="96">
        <f t="shared" ref="AC9:AC18" si="1">SUM(C9:AB9)</f>
        <v>14171834.300000001</v>
      </c>
    </row>
    <row r="10" spans="2:37" ht="20.25" customHeight="1">
      <c r="B10" s="99" t="s">
        <v>53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</row>
    <row r="11" spans="2:37" ht="73.5" customHeight="1">
      <c r="B11" s="100" t="s">
        <v>82</v>
      </c>
      <c r="C11" s="101">
        <v>370238.3</v>
      </c>
      <c r="D11" s="101">
        <v>57406.199999999983</v>
      </c>
      <c r="E11" s="101">
        <v>58140.399999999994</v>
      </c>
      <c r="F11" s="101">
        <v>76235.200000000012</v>
      </c>
      <c r="G11" s="101">
        <v>99748.700000000012</v>
      </c>
      <c r="H11" s="101">
        <v>142903.80000000002</v>
      </c>
      <c r="I11" s="101">
        <v>139992</v>
      </c>
      <c r="J11" s="101">
        <v>63910.7</v>
      </c>
      <c r="K11" s="101">
        <v>112365.1</v>
      </c>
      <c r="L11" s="101">
        <v>42233.700000000004</v>
      </c>
      <c r="M11" s="101">
        <v>122768.8</v>
      </c>
      <c r="N11" s="101">
        <v>254308.99999999997</v>
      </c>
      <c r="O11" s="101">
        <v>180761.1</v>
      </c>
      <c r="P11" s="101">
        <v>129046.59999999999</v>
      </c>
      <c r="Q11" s="101">
        <v>325397.8</v>
      </c>
      <c r="R11" s="101">
        <v>234406.39999999999</v>
      </c>
      <c r="S11" s="101">
        <v>169307.4</v>
      </c>
      <c r="T11" s="101">
        <v>130679.2</v>
      </c>
      <c r="U11" s="101">
        <v>59848.600000000006</v>
      </c>
      <c r="V11" s="101">
        <v>3895499.9000000004</v>
      </c>
      <c r="W11" s="101">
        <v>2509778.6</v>
      </c>
      <c r="X11" s="101">
        <v>690950.6</v>
      </c>
      <c r="Y11" s="101">
        <v>306942.90000000002</v>
      </c>
      <c r="Z11" s="101">
        <v>368103.9</v>
      </c>
      <c r="AA11" s="101">
        <v>374199.9</v>
      </c>
      <c r="AB11" s="101">
        <v>94898.5</v>
      </c>
      <c r="AC11" s="96">
        <f t="shared" si="1"/>
        <v>11010073.300000001</v>
      </c>
    </row>
    <row r="12" spans="2:37" ht="103.5">
      <c r="B12" s="100" t="s">
        <v>72</v>
      </c>
      <c r="C12" s="101">
        <v>14038.2</v>
      </c>
      <c r="D12" s="101">
        <v>4110</v>
      </c>
      <c r="E12" s="101">
        <v>2798.9</v>
      </c>
      <c r="F12" s="101">
        <v>4188.6000000000004</v>
      </c>
      <c r="G12" s="101">
        <v>4753.1000000000004</v>
      </c>
      <c r="H12" s="101">
        <v>6442.3</v>
      </c>
      <c r="I12" s="101">
        <v>5394.6</v>
      </c>
      <c r="J12" s="101">
        <v>3461.6</v>
      </c>
      <c r="K12" s="101">
        <v>3300.6</v>
      </c>
      <c r="L12" s="101">
        <v>1908.3</v>
      </c>
      <c r="M12" s="101">
        <v>2582</v>
      </c>
      <c r="N12" s="101">
        <v>7558.1</v>
      </c>
      <c r="O12" s="101">
        <v>8873.1</v>
      </c>
      <c r="P12" s="101">
        <v>6652.7</v>
      </c>
      <c r="Q12" s="101">
        <v>12119.1</v>
      </c>
      <c r="R12" s="101">
        <v>6904.4</v>
      </c>
      <c r="S12" s="101">
        <v>7620.4</v>
      </c>
      <c r="T12" s="101">
        <v>6137.8</v>
      </c>
      <c r="U12" s="101">
        <v>3771.9</v>
      </c>
      <c r="V12" s="101">
        <v>94477.5</v>
      </c>
      <c r="W12" s="101">
        <v>50066.8</v>
      </c>
      <c r="X12" s="101">
        <v>19339.900000000001</v>
      </c>
      <c r="Y12" s="101">
        <v>10539.4</v>
      </c>
      <c r="Z12" s="101">
        <v>10178.6</v>
      </c>
      <c r="AA12" s="101">
        <v>8083.5</v>
      </c>
      <c r="AB12" s="101">
        <v>692.2</v>
      </c>
      <c r="AC12" s="96">
        <f t="shared" si="1"/>
        <v>305993.60000000003</v>
      </c>
    </row>
    <row r="13" spans="2:37" ht="103.5">
      <c r="B13" s="100" t="s">
        <v>73</v>
      </c>
      <c r="C13" s="101">
        <v>34221.599999999999</v>
      </c>
      <c r="D13" s="101">
        <v>30543.8</v>
      </c>
      <c r="E13" s="101">
        <v>17846.2</v>
      </c>
      <c r="F13" s="101">
        <v>34575.9</v>
      </c>
      <c r="G13" s="101">
        <v>32365.3</v>
      </c>
      <c r="H13" s="101">
        <v>39135</v>
      </c>
      <c r="I13" s="101">
        <v>25581</v>
      </c>
      <c r="J13" s="101">
        <v>21084.6</v>
      </c>
      <c r="K13" s="101">
        <v>0</v>
      </c>
      <c r="L13" s="101">
        <v>19522.900000000001</v>
      </c>
      <c r="M13" s="101">
        <v>0</v>
      </c>
      <c r="N13" s="101">
        <v>13233.2</v>
      </c>
      <c r="O13" s="101">
        <v>69585.8</v>
      </c>
      <c r="P13" s="101">
        <v>54621.8</v>
      </c>
      <c r="Q13" s="101">
        <v>79915.7</v>
      </c>
      <c r="R13" s="101">
        <v>4001.4</v>
      </c>
      <c r="S13" s="101">
        <v>44407.7</v>
      </c>
      <c r="T13" s="101">
        <v>42576.6</v>
      </c>
      <c r="U13" s="101">
        <v>36059.699999999997</v>
      </c>
      <c r="V13" s="101">
        <v>0</v>
      </c>
      <c r="W13" s="101">
        <v>0</v>
      </c>
      <c r="X13" s="101">
        <v>6725.1</v>
      </c>
      <c r="Y13" s="101">
        <v>44243.5</v>
      </c>
      <c r="Z13" s="101">
        <v>0</v>
      </c>
      <c r="AA13" s="101">
        <v>0</v>
      </c>
      <c r="AB13" s="101">
        <v>0</v>
      </c>
      <c r="AC13" s="96">
        <f t="shared" si="1"/>
        <v>650246.79999999993</v>
      </c>
    </row>
    <row r="14" spans="2:37" ht="86.25">
      <c r="B14" s="100" t="s">
        <v>79</v>
      </c>
      <c r="C14" s="101"/>
      <c r="D14" s="101"/>
      <c r="E14" s="101"/>
      <c r="F14" s="101"/>
      <c r="G14" s="101"/>
      <c r="H14" s="101">
        <v>3522.2</v>
      </c>
      <c r="I14" s="101"/>
      <c r="J14" s="101">
        <v>11158.2</v>
      </c>
      <c r="K14" s="101"/>
      <c r="L14" s="101"/>
      <c r="M14" s="101">
        <v>7183.4</v>
      </c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96">
        <f>SUM(C14:AA14)</f>
        <v>21863.800000000003</v>
      </c>
    </row>
    <row r="15" spans="2:37" ht="69.75">
      <c r="B15" s="100" t="s">
        <v>74</v>
      </c>
      <c r="C15" s="101">
        <v>150152.79999999999</v>
      </c>
      <c r="D15" s="101">
        <v>153234.6</v>
      </c>
      <c r="E15" s="101">
        <v>99971.1</v>
      </c>
      <c r="F15" s="101">
        <v>100540.5</v>
      </c>
      <c r="G15" s="101">
        <v>85900</v>
      </c>
      <c r="H15" s="101">
        <v>85719.2</v>
      </c>
      <c r="I15" s="101">
        <v>99382.7</v>
      </c>
      <c r="J15" s="101">
        <v>118477.3</v>
      </c>
      <c r="K15" s="101">
        <v>77266.399999999994</v>
      </c>
      <c r="L15" s="101">
        <v>107805.1</v>
      </c>
      <c r="M15" s="101">
        <v>141296.4</v>
      </c>
      <c r="N15" s="101">
        <v>54716.2</v>
      </c>
      <c r="O15" s="101">
        <v>73774.8</v>
      </c>
      <c r="P15" s="101">
        <v>249988.8</v>
      </c>
      <c r="Q15" s="101">
        <v>52323.5</v>
      </c>
      <c r="R15" s="101">
        <v>175078.2</v>
      </c>
      <c r="S15" s="101">
        <v>159528.79999999999</v>
      </c>
      <c r="T15" s="101">
        <v>142840</v>
      </c>
      <c r="U15" s="101">
        <v>73384.7</v>
      </c>
      <c r="V15" s="101">
        <v>0</v>
      </c>
      <c r="W15" s="101">
        <v>0</v>
      </c>
      <c r="X15" s="101">
        <v>0</v>
      </c>
      <c r="Y15" s="101">
        <v>2194.6</v>
      </c>
      <c r="Z15" s="101">
        <v>5846</v>
      </c>
      <c r="AA15" s="101">
        <v>0</v>
      </c>
      <c r="AB15" s="101">
        <v>0</v>
      </c>
      <c r="AC15" s="96">
        <f t="shared" si="1"/>
        <v>2209421.7000000002</v>
      </c>
    </row>
    <row r="16" spans="2:37" ht="138">
      <c r="B16" s="100" t="s">
        <v>78</v>
      </c>
      <c r="C16" s="101"/>
      <c r="D16" s="101"/>
      <c r="E16" s="101">
        <v>-3103.5</v>
      </c>
      <c r="F16" s="101"/>
      <c r="G16" s="101"/>
      <c r="H16" s="101"/>
      <c r="I16" s="101"/>
      <c r="J16" s="101"/>
      <c r="K16" s="101">
        <v>-3510.1</v>
      </c>
      <c r="L16" s="101"/>
      <c r="M16" s="101">
        <v>-2786</v>
      </c>
      <c r="N16" s="101"/>
      <c r="O16" s="101"/>
      <c r="P16" s="101"/>
      <c r="Q16" s="101"/>
      <c r="R16" s="101">
        <v>-771.2</v>
      </c>
      <c r="S16" s="101">
        <v>-10561.5</v>
      </c>
      <c r="T16" s="101"/>
      <c r="U16" s="101"/>
      <c r="V16" s="101"/>
      <c r="W16" s="101"/>
      <c r="X16" s="101"/>
      <c r="Y16" s="101"/>
      <c r="Z16" s="101">
        <v>-2320</v>
      </c>
      <c r="AA16" s="101"/>
      <c r="AB16" s="101"/>
      <c r="AC16" s="96">
        <f>SUM(C16:AB16)</f>
        <v>-23052.300000000003</v>
      </c>
      <c r="AD16" s="130"/>
    </row>
    <row r="17" spans="2:30" ht="60" customHeight="1">
      <c r="B17" s="100" t="s">
        <v>85</v>
      </c>
      <c r="C17" s="101">
        <v>-8214.7000000000007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>
        <v>5502.1</v>
      </c>
      <c r="V17" s="101"/>
      <c r="W17" s="101"/>
      <c r="X17" s="101"/>
      <c r="Y17" s="101"/>
      <c r="Z17" s="101"/>
      <c r="AA17" s="101"/>
      <c r="AB17" s="101"/>
      <c r="AC17" s="96">
        <f>SUM(C17:AB17)</f>
        <v>-2712.6000000000004</v>
      </c>
      <c r="AD17" s="130"/>
    </row>
    <row r="18" spans="2:30" ht="42.6" customHeight="1">
      <c r="B18" s="97" t="s">
        <v>75</v>
      </c>
      <c r="C18" s="96">
        <f t="shared" ref="C18:AB18" si="2">C20+C21+C22</f>
        <v>475926.7</v>
      </c>
      <c r="D18" s="96">
        <f t="shared" si="2"/>
        <v>107477.4</v>
      </c>
      <c r="E18" s="96">
        <f t="shared" si="2"/>
        <v>85967</v>
      </c>
      <c r="F18" s="96">
        <f t="shared" si="2"/>
        <v>121555.50000000001</v>
      </c>
      <c r="G18" s="96">
        <f t="shared" si="2"/>
        <v>149269.5</v>
      </c>
      <c r="H18" s="96">
        <f t="shared" si="2"/>
        <v>202654.9</v>
      </c>
      <c r="I18" s="96">
        <f t="shared" si="2"/>
        <v>188050.3</v>
      </c>
      <c r="J18" s="96">
        <f t="shared" si="2"/>
        <v>102852.49999999999</v>
      </c>
      <c r="K18" s="96">
        <f t="shared" si="2"/>
        <v>120101.6</v>
      </c>
      <c r="L18" s="96">
        <f t="shared" si="2"/>
        <v>69868.899999999994</v>
      </c>
      <c r="M18" s="96">
        <f t="shared" si="2"/>
        <v>131302</v>
      </c>
      <c r="N18" s="96">
        <f t="shared" si="2"/>
        <v>287169.40000000002</v>
      </c>
      <c r="O18" s="96">
        <f t="shared" si="2"/>
        <v>287262.2</v>
      </c>
      <c r="P18" s="96">
        <f t="shared" si="2"/>
        <v>213043.19999999998</v>
      </c>
      <c r="Q18" s="96">
        <f t="shared" si="2"/>
        <v>437805.30000000005</v>
      </c>
      <c r="R18" s="96">
        <f t="shared" si="2"/>
        <v>282857.2</v>
      </c>
      <c r="S18" s="96">
        <f t="shared" si="2"/>
        <v>246561.59999999998</v>
      </c>
      <c r="T18" s="96">
        <f t="shared" si="2"/>
        <v>195776.2</v>
      </c>
      <c r="U18" s="96">
        <f t="shared" si="2"/>
        <v>114985.09999999999</v>
      </c>
      <c r="V18" s="96">
        <f t="shared" si="2"/>
        <v>4148381.8</v>
      </c>
      <c r="W18" s="96">
        <f t="shared" si="2"/>
        <v>3117911.1</v>
      </c>
      <c r="X18" s="96">
        <f t="shared" si="2"/>
        <v>775963.6</v>
      </c>
      <c r="Y18" s="96">
        <f t="shared" si="2"/>
        <v>402738.10000000009</v>
      </c>
      <c r="Z18" s="96">
        <f t="shared" si="2"/>
        <v>387660</v>
      </c>
      <c r="AA18" s="96">
        <f t="shared" si="2"/>
        <v>437772.6</v>
      </c>
      <c r="AB18" s="96">
        <f t="shared" si="2"/>
        <v>90362</v>
      </c>
      <c r="AC18" s="96">
        <f t="shared" si="1"/>
        <v>13181275.699999999</v>
      </c>
    </row>
    <row r="19" spans="2:30" ht="25.9" customHeight="1">
      <c r="B19" s="99" t="s">
        <v>55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102"/>
    </row>
    <row r="20" spans="2:30" ht="103.5">
      <c r="B20" s="100" t="s">
        <v>83</v>
      </c>
      <c r="C20" s="101">
        <v>415357.10000000003</v>
      </c>
      <c r="D20" s="101">
        <v>59311.799999999988</v>
      </c>
      <c r="E20" s="101">
        <v>60806.100000000006</v>
      </c>
      <c r="F20" s="101">
        <v>76792.500000000015</v>
      </c>
      <c r="G20" s="101">
        <v>103644.8</v>
      </c>
      <c r="H20" s="101">
        <v>155216.6</v>
      </c>
      <c r="I20" s="101">
        <v>141364.69999999998</v>
      </c>
      <c r="J20" s="101">
        <v>71274.799999999988</v>
      </c>
      <c r="K20" s="101">
        <v>114579.3</v>
      </c>
      <c r="L20" s="101">
        <v>49447.899999999994</v>
      </c>
      <c r="M20" s="101">
        <v>128760.90000000001</v>
      </c>
      <c r="N20" s="101">
        <v>257737.90000000002</v>
      </c>
      <c r="O20" s="101">
        <v>211763.30000000002</v>
      </c>
      <c r="P20" s="101">
        <v>128939.99999999999</v>
      </c>
      <c r="Q20" s="101">
        <v>342983</v>
      </c>
      <c r="R20" s="101">
        <v>268107.2</v>
      </c>
      <c r="S20" s="101">
        <v>187613.19999999998</v>
      </c>
      <c r="T20" s="101">
        <v>141354.80000000002</v>
      </c>
      <c r="U20" s="101">
        <v>70683.199999999997</v>
      </c>
      <c r="V20" s="101">
        <v>4054061.5999999996</v>
      </c>
      <c r="W20" s="101">
        <v>3068187.1</v>
      </c>
      <c r="X20" s="101">
        <v>733962</v>
      </c>
      <c r="Y20" s="101">
        <v>338367.30000000005</v>
      </c>
      <c r="Z20" s="101">
        <v>377630.2</v>
      </c>
      <c r="AA20" s="101">
        <v>429494.1</v>
      </c>
      <c r="AB20" s="101">
        <v>89694.3</v>
      </c>
      <c r="AC20" s="96">
        <f>SUM(C20:AB20)</f>
        <v>12077135.700000001</v>
      </c>
    </row>
    <row r="21" spans="2:30" ht="51.75">
      <c r="B21" s="100" t="s">
        <v>56</v>
      </c>
      <c r="C21" s="101">
        <v>13869.5</v>
      </c>
      <c r="D21" s="101">
        <v>3982.8</v>
      </c>
      <c r="E21" s="101">
        <v>2733.5</v>
      </c>
      <c r="F21" s="101">
        <v>4063.3</v>
      </c>
      <c r="G21" s="101">
        <v>4708</v>
      </c>
      <c r="H21" s="101">
        <v>6266.8</v>
      </c>
      <c r="I21" s="101">
        <v>5314.4</v>
      </c>
      <c r="J21" s="101">
        <v>3402.5</v>
      </c>
      <c r="K21" s="101">
        <v>3233.8</v>
      </c>
      <c r="L21" s="101">
        <v>1847.6</v>
      </c>
      <c r="M21" s="101">
        <v>2541.1</v>
      </c>
      <c r="N21" s="101">
        <v>7438.8</v>
      </c>
      <c r="O21" s="101">
        <v>8700.2999999999993</v>
      </c>
      <c r="P21" s="101">
        <v>6481.6</v>
      </c>
      <c r="Q21" s="101">
        <v>11759.9</v>
      </c>
      <c r="R21" s="101">
        <v>6875.9</v>
      </c>
      <c r="S21" s="101">
        <v>7454.6</v>
      </c>
      <c r="T21" s="101">
        <v>5971.5</v>
      </c>
      <c r="U21" s="101">
        <v>3663.2</v>
      </c>
      <c r="V21" s="101">
        <v>94320.2</v>
      </c>
      <c r="W21" s="101">
        <v>49724</v>
      </c>
      <c r="X21" s="101">
        <v>19374.5</v>
      </c>
      <c r="Y21" s="101">
        <v>10453.9</v>
      </c>
      <c r="Z21" s="101">
        <v>10029.799999999999</v>
      </c>
      <c r="AA21" s="101">
        <v>8278.5</v>
      </c>
      <c r="AB21" s="101">
        <v>667.7</v>
      </c>
      <c r="AC21" s="96">
        <f>SUM(C21:AB21)</f>
        <v>303157.7</v>
      </c>
    </row>
    <row r="22" spans="2:30" ht="69">
      <c r="B22" s="100" t="s">
        <v>57</v>
      </c>
      <c r="C22" s="101">
        <v>46700.1</v>
      </c>
      <c r="D22" s="101">
        <v>44182.8</v>
      </c>
      <c r="E22" s="101">
        <v>22427.4</v>
      </c>
      <c r="F22" s="101">
        <v>40699.699999999997</v>
      </c>
      <c r="G22" s="101">
        <v>40916.699999999997</v>
      </c>
      <c r="H22" s="101">
        <v>41171.5</v>
      </c>
      <c r="I22" s="101">
        <v>41371.199999999997</v>
      </c>
      <c r="J22" s="101">
        <v>28175.200000000001</v>
      </c>
      <c r="K22" s="101">
        <v>2288.5</v>
      </c>
      <c r="L22" s="101">
        <v>18573.400000000001</v>
      </c>
      <c r="M22" s="101">
        <v>0</v>
      </c>
      <c r="N22" s="101">
        <v>21992.7</v>
      </c>
      <c r="O22" s="101">
        <v>66798.600000000006</v>
      </c>
      <c r="P22" s="101">
        <v>77621.600000000006</v>
      </c>
      <c r="Q22" s="101">
        <v>83062.399999999994</v>
      </c>
      <c r="R22" s="101">
        <v>7874.1</v>
      </c>
      <c r="S22" s="101">
        <v>51493.8</v>
      </c>
      <c r="T22" s="101">
        <v>48449.9</v>
      </c>
      <c r="U22" s="101">
        <v>40638.699999999997</v>
      </c>
      <c r="V22" s="101">
        <v>0</v>
      </c>
      <c r="W22" s="101">
        <v>0</v>
      </c>
      <c r="X22" s="101">
        <v>22627.1</v>
      </c>
      <c r="Y22" s="101">
        <v>53916.9</v>
      </c>
      <c r="Z22" s="101">
        <v>0</v>
      </c>
      <c r="AA22" s="101">
        <v>0</v>
      </c>
      <c r="AB22" s="101">
        <v>0</v>
      </c>
      <c r="AC22" s="96">
        <f>SUM(C22:AB22)</f>
        <v>800982.3</v>
      </c>
      <c r="AD22" s="130"/>
    </row>
    <row r="23" spans="2:30" ht="9.75" customHeight="1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5"/>
    </row>
    <row r="24" spans="2:30" ht="39">
      <c r="B24" s="155" t="s">
        <v>58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7"/>
    </row>
    <row r="25" spans="2:30" ht="56.25">
      <c r="B25" s="111" t="s">
        <v>76</v>
      </c>
      <c r="C25" s="110">
        <f t="shared" ref="C25:AB25" si="3">C18-C9</f>
        <v>-84509.499999999942</v>
      </c>
      <c r="D25" s="110">
        <f t="shared" si="3"/>
        <v>-137817.19999999998</v>
      </c>
      <c r="E25" s="110">
        <f t="shared" si="3"/>
        <v>-89686.1</v>
      </c>
      <c r="F25" s="110">
        <f t="shared" si="3"/>
        <v>-93984.7</v>
      </c>
      <c r="G25" s="110">
        <f t="shared" si="3"/>
        <v>-73497.600000000006</v>
      </c>
      <c r="H25" s="110">
        <f t="shared" si="3"/>
        <v>-75067.600000000006</v>
      </c>
      <c r="I25" s="110">
        <f t="shared" si="3"/>
        <v>-82300</v>
      </c>
      <c r="J25" s="110">
        <f t="shared" si="3"/>
        <v>-115239.90000000001</v>
      </c>
      <c r="K25" s="110">
        <f t="shared" si="3"/>
        <v>-69320.399999999994</v>
      </c>
      <c r="L25" s="110">
        <f t="shared" si="3"/>
        <v>-101601.1</v>
      </c>
      <c r="M25" s="110">
        <f t="shared" si="3"/>
        <v>-139742.59999999998</v>
      </c>
      <c r="N25" s="110">
        <f t="shared" si="3"/>
        <v>-42647.099999999977</v>
      </c>
      <c r="O25" s="110">
        <f t="shared" si="3"/>
        <v>-45732.599999999977</v>
      </c>
      <c r="P25" s="110">
        <f t="shared" si="3"/>
        <v>-227266.69999999998</v>
      </c>
      <c r="Q25" s="110">
        <f t="shared" si="3"/>
        <v>-31950.79999999993</v>
      </c>
      <c r="R25" s="110">
        <f t="shared" si="3"/>
        <v>-136762</v>
      </c>
      <c r="S25" s="110">
        <f t="shared" si="3"/>
        <v>-123741.20000000001</v>
      </c>
      <c r="T25" s="110">
        <f t="shared" si="3"/>
        <v>-126457.39999999997</v>
      </c>
      <c r="U25" s="110">
        <f t="shared" si="3"/>
        <v>-63581.900000000038</v>
      </c>
      <c r="V25" s="110">
        <f t="shared" si="3"/>
        <v>158404.39999999944</v>
      </c>
      <c r="W25" s="110">
        <f t="shared" si="3"/>
        <v>558065.70000000019</v>
      </c>
      <c r="X25" s="110">
        <f t="shared" si="3"/>
        <v>58948</v>
      </c>
      <c r="Y25" s="110">
        <f t="shared" si="3"/>
        <v>38817.70000000007</v>
      </c>
      <c r="Z25" s="110">
        <f t="shared" si="3"/>
        <v>5851.5</v>
      </c>
      <c r="AA25" s="110">
        <f t="shared" si="3"/>
        <v>55489.199999999953</v>
      </c>
      <c r="AB25" s="110">
        <f t="shared" si="3"/>
        <v>-5228.6999999999971</v>
      </c>
      <c r="AC25" s="112">
        <f t="shared" ref="AC25:AC30" si="4">SUM(C25:AB25)</f>
        <v>-990558.60000000021</v>
      </c>
    </row>
    <row r="26" spans="2:30" s="94" customFormat="1" ht="37.5">
      <c r="B26" s="117" t="s">
        <v>77</v>
      </c>
      <c r="C26" s="118">
        <f>C27+C28</f>
        <v>10864.7</v>
      </c>
      <c r="D26" s="118">
        <f t="shared" ref="D26:AB26" si="5">D27+D28</f>
        <v>2441.9</v>
      </c>
      <c r="E26" s="118">
        <f t="shared" si="5"/>
        <v>980.5</v>
      </c>
      <c r="F26" s="118">
        <f t="shared" si="5"/>
        <v>1359.7</v>
      </c>
      <c r="G26" s="118">
        <f t="shared" si="5"/>
        <v>1334</v>
      </c>
      <c r="H26" s="118">
        <f t="shared" si="5"/>
        <v>12726.5</v>
      </c>
      <c r="I26" s="118">
        <f t="shared" si="5"/>
        <v>1805.1</v>
      </c>
      <c r="J26" s="118">
        <f t="shared" si="5"/>
        <v>1290.8</v>
      </c>
      <c r="K26" s="118">
        <f t="shared" si="5"/>
        <v>1153.2</v>
      </c>
      <c r="L26" s="118">
        <f t="shared" si="5"/>
        <v>761.1</v>
      </c>
      <c r="M26" s="118">
        <f t="shared" si="5"/>
        <v>1234.5</v>
      </c>
      <c r="N26" s="118">
        <f t="shared" si="5"/>
        <v>1644.5</v>
      </c>
      <c r="O26" s="118">
        <f t="shared" si="5"/>
        <v>1970.2</v>
      </c>
      <c r="P26" s="118">
        <f t="shared" si="5"/>
        <v>2625.7</v>
      </c>
      <c r="Q26" s="118">
        <f t="shared" si="5"/>
        <v>2476.8000000000002</v>
      </c>
      <c r="R26" s="118">
        <f t="shared" si="5"/>
        <v>1978.2</v>
      </c>
      <c r="S26" s="118">
        <f t="shared" si="5"/>
        <v>4239.1000000000004</v>
      </c>
      <c r="T26" s="118">
        <f t="shared" si="5"/>
        <v>978.6</v>
      </c>
      <c r="U26" s="118">
        <f t="shared" si="5"/>
        <v>968.4</v>
      </c>
      <c r="V26" s="118">
        <f t="shared" si="5"/>
        <v>18994.3</v>
      </c>
      <c r="W26" s="118">
        <f t="shared" si="5"/>
        <v>10271.4</v>
      </c>
      <c r="X26" s="118">
        <f t="shared" si="5"/>
        <v>4719.2</v>
      </c>
      <c r="Y26" s="118">
        <f t="shared" si="5"/>
        <v>2431.3000000000002</v>
      </c>
      <c r="Z26" s="118">
        <f t="shared" si="5"/>
        <v>11068.2</v>
      </c>
      <c r="AA26" s="118">
        <f t="shared" si="5"/>
        <v>3092.5</v>
      </c>
      <c r="AB26" s="118">
        <f t="shared" si="5"/>
        <v>465.9</v>
      </c>
      <c r="AC26" s="119">
        <f t="shared" si="4"/>
        <v>103876.29999999997</v>
      </c>
    </row>
    <row r="27" spans="2:30" ht="112.5">
      <c r="B27" s="153" t="s">
        <v>80</v>
      </c>
      <c r="C27" s="110">
        <v>7577.3</v>
      </c>
      <c r="D27" s="110">
        <v>229.4</v>
      </c>
      <c r="E27" s="110"/>
      <c r="F27" s="110"/>
      <c r="G27" s="110"/>
      <c r="H27" s="110">
        <v>11181.8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2004.1</v>
      </c>
      <c r="T27" s="110"/>
      <c r="U27" s="110"/>
      <c r="V27" s="110"/>
      <c r="W27" s="110"/>
      <c r="X27" s="110"/>
      <c r="Y27" s="110"/>
      <c r="Z27" s="110">
        <v>8312</v>
      </c>
      <c r="AA27" s="110"/>
      <c r="AB27" s="110"/>
      <c r="AC27" s="112">
        <f t="shared" si="4"/>
        <v>29304.6</v>
      </c>
    </row>
    <row r="28" spans="2:30" ht="75">
      <c r="B28" s="153" t="s">
        <v>84</v>
      </c>
      <c r="C28" s="110">
        <v>3287.4</v>
      </c>
      <c r="D28" s="110">
        <v>2212.5</v>
      </c>
      <c r="E28" s="110">
        <v>980.5</v>
      </c>
      <c r="F28" s="110">
        <v>1359.7</v>
      </c>
      <c r="G28" s="110">
        <v>1334</v>
      </c>
      <c r="H28" s="110">
        <v>1544.7</v>
      </c>
      <c r="I28" s="110">
        <v>1805.1</v>
      </c>
      <c r="J28" s="110">
        <v>1290.8</v>
      </c>
      <c r="K28" s="110">
        <v>1153.2</v>
      </c>
      <c r="L28" s="110">
        <v>761.1</v>
      </c>
      <c r="M28" s="110">
        <v>1234.5</v>
      </c>
      <c r="N28" s="110">
        <v>1644.5</v>
      </c>
      <c r="O28" s="110">
        <v>1970.2</v>
      </c>
      <c r="P28" s="110">
        <v>2625.7</v>
      </c>
      <c r="Q28" s="110">
        <v>2476.8000000000002</v>
      </c>
      <c r="R28" s="110">
        <v>1978.2</v>
      </c>
      <c r="S28" s="110">
        <v>2235</v>
      </c>
      <c r="T28" s="110">
        <v>978.6</v>
      </c>
      <c r="U28" s="110">
        <v>968.4</v>
      </c>
      <c r="V28" s="110">
        <v>18994.3</v>
      </c>
      <c r="W28" s="110">
        <v>10271.4</v>
      </c>
      <c r="X28" s="110">
        <v>4719.2</v>
      </c>
      <c r="Y28" s="110">
        <v>2431.3000000000002</v>
      </c>
      <c r="Z28" s="110">
        <v>2756.2</v>
      </c>
      <c r="AA28" s="110">
        <v>3092.5</v>
      </c>
      <c r="AB28" s="110">
        <v>465.9</v>
      </c>
      <c r="AC28" s="112">
        <f t="shared" si="4"/>
        <v>74571.7</v>
      </c>
    </row>
    <row r="29" spans="2:30" s="94" customFormat="1" ht="75">
      <c r="B29" s="117" t="s">
        <v>62</v>
      </c>
      <c r="C29" s="118">
        <f>C26-C25</f>
        <v>95374.199999999939</v>
      </c>
      <c r="D29" s="118">
        <f t="shared" ref="D29:AB29" si="6">D26-D25</f>
        <v>140259.09999999998</v>
      </c>
      <c r="E29" s="118">
        <f t="shared" si="6"/>
        <v>90666.6</v>
      </c>
      <c r="F29" s="118">
        <f t="shared" si="6"/>
        <v>95344.4</v>
      </c>
      <c r="G29" s="118">
        <f t="shared" si="6"/>
        <v>74831.600000000006</v>
      </c>
      <c r="H29" s="118">
        <f t="shared" si="6"/>
        <v>87794.1</v>
      </c>
      <c r="I29" s="118">
        <f t="shared" si="6"/>
        <v>84105.1</v>
      </c>
      <c r="J29" s="118">
        <f t="shared" si="6"/>
        <v>116530.70000000001</v>
      </c>
      <c r="K29" s="118">
        <f t="shared" si="6"/>
        <v>70473.599999999991</v>
      </c>
      <c r="L29" s="118">
        <f t="shared" si="6"/>
        <v>102362.20000000001</v>
      </c>
      <c r="M29" s="118">
        <f t="shared" si="6"/>
        <v>140977.09999999998</v>
      </c>
      <c r="N29" s="118">
        <f t="shared" si="6"/>
        <v>44291.599999999977</v>
      </c>
      <c r="O29" s="118">
        <f t="shared" si="6"/>
        <v>47702.799999999974</v>
      </c>
      <c r="P29" s="118">
        <f t="shared" si="6"/>
        <v>229892.4</v>
      </c>
      <c r="Q29" s="118">
        <f t="shared" si="6"/>
        <v>34427.599999999933</v>
      </c>
      <c r="R29" s="118">
        <f t="shared" si="6"/>
        <v>138740.20000000001</v>
      </c>
      <c r="S29" s="118">
        <f t="shared" si="6"/>
        <v>127980.30000000002</v>
      </c>
      <c r="T29" s="118">
        <f t="shared" si="6"/>
        <v>127435.99999999997</v>
      </c>
      <c r="U29" s="118">
        <f t="shared" si="6"/>
        <v>64550.300000000039</v>
      </c>
      <c r="V29" s="118">
        <f t="shared" si="6"/>
        <v>-139410.09999999945</v>
      </c>
      <c r="W29" s="118">
        <f t="shared" si="6"/>
        <v>-547794.30000000016</v>
      </c>
      <c r="X29" s="118">
        <f t="shared" si="6"/>
        <v>-54228.800000000003</v>
      </c>
      <c r="Y29" s="118">
        <f t="shared" si="6"/>
        <v>-36386.400000000067</v>
      </c>
      <c r="Z29" s="118">
        <f t="shared" si="6"/>
        <v>5216.7000000000007</v>
      </c>
      <c r="AA29" s="118">
        <f t="shared" si="6"/>
        <v>-52396.699999999953</v>
      </c>
      <c r="AB29" s="118">
        <f t="shared" si="6"/>
        <v>5694.5999999999967</v>
      </c>
      <c r="AC29" s="118">
        <f t="shared" si="4"/>
        <v>1094434.8999999999</v>
      </c>
      <c r="AD29" s="154"/>
    </row>
    <row r="30" spans="2:30" s="94" customFormat="1" ht="56.25">
      <c r="B30" s="117" t="s">
        <v>81</v>
      </c>
      <c r="C30" s="118">
        <f>IF(C29&gt;0,ROUND(C29,1),0)</f>
        <v>95374.2</v>
      </c>
      <c r="D30" s="118">
        <f t="shared" ref="D30:AA30" si="7">IF(D29&gt;0,ROUND(D29,1),0)</f>
        <v>140259.1</v>
      </c>
      <c r="E30" s="118">
        <f t="shared" si="7"/>
        <v>90666.6</v>
      </c>
      <c r="F30" s="118">
        <f t="shared" si="7"/>
        <v>95344.4</v>
      </c>
      <c r="G30" s="118">
        <f t="shared" si="7"/>
        <v>74831.600000000006</v>
      </c>
      <c r="H30" s="118">
        <f t="shared" si="7"/>
        <v>87794.1</v>
      </c>
      <c r="I30" s="118">
        <f t="shared" si="7"/>
        <v>84105.1</v>
      </c>
      <c r="J30" s="118">
        <f t="shared" si="7"/>
        <v>116530.7</v>
      </c>
      <c r="K30" s="118">
        <f t="shared" si="7"/>
        <v>70473.600000000006</v>
      </c>
      <c r="L30" s="118">
        <f t="shared" si="7"/>
        <v>102362.2</v>
      </c>
      <c r="M30" s="118">
        <f t="shared" si="7"/>
        <v>140977.1</v>
      </c>
      <c r="N30" s="118">
        <f t="shared" si="7"/>
        <v>44291.6</v>
      </c>
      <c r="O30" s="118">
        <f t="shared" si="7"/>
        <v>47702.8</v>
      </c>
      <c r="P30" s="118">
        <f t="shared" si="7"/>
        <v>229892.4</v>
      </c>
      <c r="Q30" s="118">
        <f t="shared" si="7"/>
        <v>34427.599999999999</v>
      </c>
      <c r="R30" s="118">
        <f t="shared" si="7"/>
        <v>138740.20000000001</v>
      </c>
      <c r="S30" s="118">
        <f t="shared" si="7"/>
        <v>127980.3</v>
      </c>
      <c r="T30" s="118">
        <f t="shared" si="7"/>
        <v>127436</v>
      </c>
      <c r="U30" s="118">
        <f t="shared" si="7"/>
        <v>64550.3</v>
      </c>
      <c r="V30" s="118">
        <f t="shared" si="7"/>
        <v>0</v>
      </c>
      <c r="W30" s="118">
        <f t="shared" si="7"/>
        <v>0</v>
      </c>
      <c r="X30" s="118">
        <f t="shared" si="7"/>
        <v>0</v>
      </c>
      <c r="Y30" s="118">
        <f t="shared" si="7"/>
        <v>0</v>
      </c>
      <c r="Z30" s="118">
        <f t="shared" si="7"/>
        <v>5216.7</v>
      </c>
      <c r="AA30" s="118">
        <f t="shared" si="7"/>
        <v>0</v>
      </c>
      <c r="AB30" s="118">
        <v>0</v>
      </c>
      <c r="AC30" s="118">
        <f t="shared" si="4"/>
        <v>1918956.6</v>
      </c>
      <c r="AD30" s="154"/>
    </row>
  </sheetData>
  <mergeCells count="1">
    <mergeCell ref="C5:M5"/>
  </mergeCells>
  <printOptions horizontalCentered="1"/>
  <pageMargins left="0.39370078740157483" right="0.39370078740157483" top="0.78740157480314965" bottom="0.39370078740157483" header="0" footer="0"/>
  <pageSetup paperSize="9" scale="63" pageOrder="overThenDown" orientation="landscape" r:id="rId1"/>
  <headerFooter>
    <oddFooter>&amp;CСтраница &amp;P из &amp;N</oddFooter>
  </headerFooter>
  <colBreaks count="1" manualBreakCount="1">
    <brk id="16" min="4" max="29" man="1"/>
  </colBreaks>
  <legacyDrawing r:id="rId2"/>
  <oleObjects>
    <oleObject progId="Equation.3" shapeId="7169" r:id="rId3"/>
    <oleObject progId="Equation.3" shapeId="7170" r:id="rId4"/>
    <oleObject progId="Equation.3" shapeId="7171" r:id="rId5"/>
    <oleObject progId="Equation.3" shapeId="7172" r:id="rId6"/>
    <oleObject progId="Equation.3" shapeId="7173" r:id="rId7"/>
    <oleObject progId="Equation.3" shapeId="7174" r:id="rId8"/>
    <oleObject progId="Equation.3" shapeId="7175" r:id="rId9"/>
    <oleObject progId="Equation.3" shapeId="7176" r:id="rId10"/>
    <oleObject progId="Equation.3" shapeId="7177" r:id="rId11"/>
    <oleObject progId="Equation.3" shapeId="7178" r:id="rId12"/>
    <oleObject progId="Equation.3" shapeId="7179" r:id="rId13"/>
    <oleObject progId="Equation.3" shapeId="7180" r:id="rId14"/>
    <oleObject progId="Equation.3" shapeId="7181" r:id="rId15"/>
    <oleObject progId="Equation.3" shapeId="7182" r:id="rId16"/>
    <oleObject progId="Equation.3" shapeId="7183" r:id="rId17"/>
    <oleObject progId="Equation.3" shapeId="7184" r:id="rId18"/>
    <oleObject progId="Equation.3" shapeId="7185" r:id="rId19"/>
    <oleObject progId="Equation.3" shapeId="7186" r:id="rId20"/>
    <oleObject progId="Equation.3" shapeId="7187" r:id="rId21"/>
    <oleObject progId="Equation.3" shapeId="7188" r:id="rId22"/>
    <oleObject progId="Equation.3" shapeId="7189" r:id="rId23"/>
    <oleObject progId="Equation.3" shapeId="7190" r:id="rId24"/>
    <oleObject progId="Equation.3" shapeId="7191" r:id="rId25"/>
    <oleObject progId="Equation.3" shapeId="7192" r:id="rId26"/>
    <oleObject progId="Equation.3" shapeId="7193" r:id="rId27"/>
    <oleObject progId="Equation.3" shapeId="7194" r:id="rId28"/>
    <oleObject progId="Equation.3" shapeId="7195" r:id="rId29"/>
    <oleObject progId="Equation.3" shapeId="7196" r:id="rId30"/>
    <oleObject progId="Equation.3" shapeId="7197" r:id="rId31"/>
    <oleObject progId="Equation.3" shapeId="7198" r:id="rId32"/>
    <oleObject progId="Equation.3" shapeId="7199" r:id="rId33"/>
    <oleObject progId="Equation.3" shapeId="7200" r:id="rId34"/>
    <oleObject progId="Equation.3" shapeId="7201" r:id="rId35"/>
    <oleObject progId="Equation.3" shapeId="7202" r:id="rId36"/>
    <oleObject progId="Equation.3" shapeId="7203" r:id="rId37"/>
    <oleObject progId="Equation.3" shapeId="7204" r:id="rId38"/>
    <oleObject progId="Equation.3" shapeId="7205" r:id="rId39"/>
    <oleObject progId="Equation.3" shapeId="7206" r:id="rId40"/>
    <oleObject progId="Equation.3" shapeId="7207" r:id="rId41"/>
    <oleObject progId="Equation.3" shapeId="7208" r:id="rId42"/>
    <oleObject progId="Equation.3" shapeId="7209" r:id="rId43"/>
    <oleObject progId="Equation.3" shapeId="7210" r:id="rId44"/>
    <oleObject progId="Equation.3" shapeId="7211" r:id="rId45"/>
    <oleObject progId="Equation.3" shapeId="7212" r:id="rId46"/>
    <oleObject progId="Equation.3" shapeId="7213" r:id="rId47"/>
    <oleObject progId="Equation.3" shapeId="7214" r:id="rId48"/>
    <oleObject progId="Equation.3" shapeId="7215" r:id="rId49"/>
    <oleObject progId="Equation.3" shapeId="7216" r:id="rId50"/>
    <oleObject progId="Equation.3" shapeId="7217" r:id="rId51"/>
    <oleObject progId="Equation.3" shapeId="7218" r:id="rId52"/>
    <oleObject progId="Equation.3" shapeId="7219" r:id="rId53"/>
    <oleObject progId="Equation.3" shapeId="7220" r:id="rId54"/>
    <oleObject progId="Equation.3" shapeId="7221" r:id="rId55"/>
    <oleObject progId="Equation.3" shapeId="7222" r:id="rId56"/>
    <oleObject progId="Equation.3" shapeId="7223" r:id="rId57"/>
    <oleObject progId="Equation.3" shapeId="7224" r:id="rId58"/>
    <oleObject progId="Equation.3" shapeId="7225" r:id="rId59"/>
    <oleObject progId="Equation.3" shapeId="7226" r:id="rId60"/>
    <oleObject progId="Equation.3" shapeId="7227" r:id="rId61"/>
    <oleObject progId="Equation.3" shapeId="7228" r:id="rId62"/>
    <oleObject progId="Equation.3" shapeId="7229" r:id="rId63"/>
    <oleObject progId="Equation.3" shapeId="7230" r:id="rId64"/>
    <oleObject progId="Equation.3" shapeId="7231" r:id="rId65"/>
    <oleObject progId="Equation.3" shapeId="7232" r:id="rId66"/>
    <oleObject progId="Equation.3" shapeId="7233" r:id="rId67"/>
    <oleObject progId="Equation.3" shapeId="7234" r:id="rId68"/>
    <oleObject progId="Equation.3" shapeId="7235" r:id="rId69"/>
    <oleObject progId="Equation.3" shapeId="7236" r:id="rId70"/>
    <oleObject progId="Equation.3" shapeId="7237" r:id="rId71"/>
    <oleObject progId="Equation.3" shapeId="7238" r:id="rId72"/>
    <oleObject progId="Equation.3" shapeId="7239" r:id="rId73"/>
    <oleObject progId="Equation.3" shapeId="7240" r:id="rId74"/>
    <oleObject progId="Equation.3" shapeId="7241" r:id="rId75"/>
    <oleObject progId="Equation.3" shapeId="7242" r:id="rId76"/>
    <oleObject progId="Equation.3" shapeId="7243" r:id="rId77"/>
    <oleObject progId="Equation.3" shapeId="7244" r:id="rId78"/>
    <oleObject progId="Equation.3" shapeId="7245" r:id="rId79"/>
    <oleObject progId="Equation.3" shapeId="7246" r:id="rId80"/>
    <oleObject progId="Equation.3" shapeId="7247" r:id="rId81"/>
    <oleObject progId="Equation.3" shapeId="7248" r:id="rId82"/>
    <oleObject progId="Equation.3" shapeId="7249" r:id="rId83"/>
    <oleObject progId="Equation.3" shapeId="7250" r:id="rId84"/>
    <oleObject progId="Equation.3" shapeId="7251" r:id="rId85"/>
    <oleObject progId="Equation.3" shapeId="7252" r:id="rId86"/>
    <oleObject progId="Equation.3" shapeId="7253" r:id="rId87"/>
    <oleObject progId="Equation.3" shapeId="7254" r:id="rId88"/>
    <oleObject progId="Equation.3" shapeId="7255" r:id="rId89"/>
    <oleObject progId="Equation.3" shapeId="7256" r:id="rId90"/>
    <oleObject progId="Equation.3" shapeId="7257" r:id="rId91"/>
    <oleObject progId="Equation.3" shapeId="7258" r:id="rId92"/>
    <oleObject progId="Equation.3" shapeId="7259" r:id="rId93"/>
    <oleObject progId="Equation.3" shapeId="7260" r:id="rId94"/>
    <oleObject progId="Equation.3" shapeId="7261" r:id="rId95"/>
    <oleObject progId="Equation.3" shapeId="7262" r:id="rId96"/>
    <oleObject progId="Equation.3" shapeId="7263" r:id="rId97"/>
    <oleObject progId="Equation.3" shapeId="7264" r:id="rId98"/>
    <oleObject progId="Equation.3" shapeId="7265" r:id="rId99"/>
    <oleObject progId="Equation.3" shapeId="7266" r:id="rId100"/>
    <oleObject progId="Equation.3" shapeId="7267" r:id="rId101"/>
    <oleObject progId="Equation.3" shapeId="7268" r:id="rId10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выравнивание</vt:lpstr>
      <vt:lpstr>СВМЗ</vt:lpstr>
      <vt:lpstr>СВМЗ!Заголовки_для_печати</vt:lpstr>
      <vt:lpstr>выравнивание!Область_печати</vt:lpstr>
      <vt:lpstr>СВМЗ!Область_печати</vt:lpstr>
    </vt:vector>
  </TitlesOfParts>
  <Company>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Суровцева Т.В.</dc:creator>
  <cp:lastModifiedBy>User</cp:lastModifiedBy>
  <cp:lastPrinted>2014-10-12T16:33:15Z</cp:lastPrinted>
  <dcterms:created xsi:type="dcterms:W3CDTF">2005-09-10T09:08:30Z</dcterms:created>
  <dcterms:modified xsi:type="dcterms:W3CDTF">2014-10-12T16:33:18Z</dcterms:modified>
</cp:coreProperties>
</file>